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nd Schedule (Base Case)" sheetId="1" state="visible" r:id="rId3"/>
    <sheet name="Built-then-Idled (Alcoa)" sheetId="2" state="visible" r:id="rId4"/>
    <sheet name="Conservative ($64M, App C)" sheetId="3" state="visible" r:id="rId5"/>
    <sheet name="Gradual Miss (Ramp)" sheetId="4" state="visible" r:id="rId6"/>
    <sheet name="Scenario Guid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<sst xmlns="http://schemas.openxmlformats.org/spreadsheetml/2006/main" count="214" uniqueCount="138">
  <si>
    <t xml:space="preserve">Malaga TIF — LTGO Bond Schedule &amp; Coverage Stress (BASE CASE, $106M)</t>
  </si>
  <si>
    <t xml:space="preserve">Source: Port Final Project Analysis, Dec 18 2025 — Exhibits 10,13,15-17 (Piper Sandler/Tiberius). All figures the Port's own. See 'Scenario Guide' tab.</t>
  </si>
  <si>
    <t xml:space="preserve">KEY ASSUMPTION (edit yellow cell):</t>
  </si>
  <si>
    <t xml:space="preserve">Assessed-value (increment) miss %</t>
  </si>
  <si>
    <t xml:space="preserve">&lt;- change to model 25%, 50%, etc.</t>
  </si>
  <si>
    <t xml:space="preserve">Year</t>
  </si>
  <si>
    <t xml:space="preserve">Bonds
Issued</t>
  </si>
  <si>
    <t xml:space="preserve">Principal
Paid</t>
  </si>
  <si>
    <t xml:space="preserve">Interest
Paid</t>
  </si>
  <si>
    <t xml:space="preserve">Total Debt
Service</t>
  </si>
  <si>
    <t xml:space="preserve">Debt Outstanding
(end of yr)</t>
  </si>
  <si>
    <t xml:space="preserve">Projected
Increment AV</t>
  </si>
  <si>
    <t xml:space="preserve">Levy Rate
($/1,000)</t>
  </si>
  <si>
    <t xml:space="preserve">Projected
Revenue</t>
  </si>
  <si>
    <t xml:space="preserve">Coverage
(Rev/DS)</t>
  </si>
  <si>
    <t xml:space="preserve">Increment AV
req'd for 1.0x</t>
  </si>
  <si>
    <t xml:space="preserve">AV Cushion
above 1.0x</t>
  </si>
  <si>
    <t xml:space="preserve">Revenue if
AV misses</t>
  </si>
  <si>
    <t xml:space="preserve">Gen-Fund / Levy
SHORTFALL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</si>
  <si>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</si>
  <si>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</si>
  <si>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</si>
  <si>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</si>
  <si>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</si>
  <si>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</si>
  <si>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</si>
  <si>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</si>
  <si>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</si>
  <si>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</si>
  <si>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</si>
  <si>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</si>
  <si>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</si>
  <si>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</si>
  <si>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</si>
  <si>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</si>
  <si>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</si>
  <si>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</si>
  <si>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</si>
  <si>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</si>
  <si>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</si>
  <si>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</si>
  <si>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</si>
  <si>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</si>
  <si>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</si>
  <si>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</si>
  <si>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TOTAL</t>
  </si>
  <si>
    <t xml:space="preserve">* Blue = Port's own figures; rest are formulas. 10% miss = ~$1.35M taxpayer top-up. Min coverage 1.02 (2039). See 'Scenario Guide' tab.</t>
  </si>
  <si>
    <t xml:space="preserve">Malaga TIF — 'Built then Idled' scenario (the Alcoa case)</t>
  </si>
  <si>
    <t xml:space="preserve">Facilities ARE built (full AV on rolls, bonds sized to it), then the anchor idles and its assessed value is cut from a chosen year. Debt service is fixed &amp; GO-backed.</t>
  </si>
  <si>
    <t xml:space="preserve">KEY ASSUMPTIONS (edit yellow cells) — size the haircut from the calibration table below:</t>
  </si>
  <si>
    <t xml:space="preserve">Idle / value-loss START year</t>
  </si>
  <si>
    <t xml:space="preserve">Assessed-value HAIRCUT on increment (from that year)</t>
  </si>
  <si>
    <t xml:space="preserve">&lt;- size from calibration table (rows 40+).</t>
  </si>
  <si>
    <t xml:space="preserve">Haircut
applied?</t>
  </si>
  <si>
    <t xml:space="preserve">Effective
Increment AV</t>
  </si>
  <si>
    <t xml:space="preserve">Revenue
(idled)</t>
  </si>
  <si>
    <t xml:space="preserve">Coverage
(idled)</t>
  </si>
  <si>
    <t xml:space="preserve">CALIBRATION — what haircut fits which anchor? (Exhibit 4 shares; see 'Scenario Guide')</t>
  </si>
  <si>
    <t xml:space="preserve">If this idles / never materializes</t>
  </si>
  <si>
    <t xml:space="preserve">Suggested
haircut</t>
  </si>
  <si>
    <t xml:space="preserve">Why (share of new construction)</t>
  </si>
  <si>
    <t xml:space="preserve">One speculative 'other' project (a Helion-type bet)</t>
  </si>
  <si>
    <t xml:space="preserve">5-10%</t>
  </si>
  <si>
    <t xml:space="preserve">'Other' speculative bucket = 18% of new build, split across several projects</t>
  </si>
  <si>
    <t xml:space="preserve">Sabey data center (smaller known anchor)</t>
  </si>
  <si>
    <t xml:space="preserve">10-15%</t>
  </si>
  <si>
    <t xml:space="preserve">Known data centers (MS+Sabey) = 41%; Sabey the smaller share</t>
  </si>
  <si>
    <t xml:space="preserve">Microsoft data center</t>
  </si>
  <si>
    <t xml:space="preserve">25-30%</t>
  </si>
  <si>
    <t xml:space="preserve">Largest single known anchor</t>
  </si>
  <si>
    <t xml:space="preserve">ALL speculative future data centers  &lt;&lt;  PORT'S OWN CONSERVATIVE CASE (see tab)</t>
  </si>
  <si>
    <t xml:space="preserve">37%</t>
  </si>
  <si>
    <t xml:space="preserve">Port Appendix C: removing speculative data centers cut 25-yr revenue 37%</t>
  </si>
  <si>
    <t xml:space="preserve">Microsoft + a data-center cluster</t>
  </si>
  <si>
    <t xml:space="preserve">40-50%</t>
  </si>
  <si>
    <t xml:space="preserve">All data centers together = ~81% of new construction value</t>
  </si>
  <si>
    <t xml:space="preserve">Reality check: increment EXCLUDES servers (personal property) &amp; an idled shell keeps some value -&gt; a single tenant idling is likely 40-70% of its share, not 100%.</t>
  </si>
  <si>
    <t xml:space="preserve">A worker furlough alone does NOT change AV. Sustained idling erodes it via obsolescence, appeals, equipment removal, demolition; delinquency can halt collection.</t>
  </si>
  <si>
    <t xml:space="preserve">Malaga TIF — the PORT'S OWN CONSERVATIVE case (Appendix C, $64M)</t>
  </si>
  <si>
    <t xml:space="preserve">Port Appendix C: removes speculative future data centers (-37% revenue). 2 series, $64M, blended TIC 6.16%. Source: Final Project Analysis Ex.22-25.</t>
  </si>
  <si>
    <t xml:space="preserve">KEY POINT: even the Port's downside runs coverage at ~1.0 (min 1.01, 2030) -- no better than the base case (1.02). Neither Port scenario carries a normal 1.25-1.50x cushion.</t>
  </si>
  <si>
    <t xml:space="preserve">Malaga TIF — GRADUAL WIDENING MISS (linear ramp)</t>
  </si>
  <si>
    <t xml:space="preserve">Instead of a flat miss every year, the forecast error starts at 0% and widens evenly each year until it reaches the max % in the end year. Models a forecast that drifts further off the longer it runs.</t>
  </si>
  <si>
    <t xml:space="preserve">KEY ASSUMPTIONS (edit yellow cells)</t>
  </si>
  <si>
    <t xml:space="preserve">Max miss reached in end year</t>
  </si>
  <si>
    <t xml:space="preserve">&lt;- e.g. 0.25 = forecast ends up 25% too high by the end year</t>
  </si>
  <si>
    <t xml:space="preserve">Ramp start year (miss = 0%)</t>
  </si>
  <si>
    <t xml:space="preserve">Ramp end year (miss = max)</t>
  </si>
  <si>
    <t xml:space="preserve">BASE CASE — FULL BUILD-OUT ($106M bonds, 4 series)</t>
  </si>
  <si>
    <t xml:space="preserve">PORT'S CONSERVATIVE ($64M, Appendix C)</t>
  </si>
  <si>
    <t xml:space="preserve">Miss %
(this yr)</t>
  </si>
  <si>
    <t xml:space="preserve">Revenue
(after miss)</t>
  </si>
  <si>
    <t xml:space="preserve">Green = pulled live from the scenario tabs; black = formulas on this tab. Compare TOTAL here vs the flat-miss shortfall on the source tabs: a ramp to the same max % costs less early, more late.</t>
  </si>
  <si>
    <t xml:space="preserve">SCENARIO GUIDE — how to read the Malaga TIF bond stress tests</t>
  </si>
  <si>
    <t xml:space="preserve">Every figure traces to the Port of Chelan County Final Project Analysis (Dec 18, 2025).</t>
  </si>
  <si>
    <t xml:space="preserve">1) WHAT THE PORT'S REVENUE MODEL INCLUDES — AND EXCLUDES</t>
  </si>
  <si>
    <t xml:space="preserve">* The increment &amp; the $210.6M projected revenue are REAL PROPERTY ONLY: "...includes only real property, and excludes personal property value."</t>
  </si>
  <si>
    <t xml:space="preserve">* EXCLUDED: all personal property -- servers/equipment ($1.56B known + $1.47B speculative). None of it is in the revenue forecast.</t>
  </si>
  <si>
    <t xml:space="preserve">* INCLUDED: buildings + land of known &amp; speculative projects -- $3.6B new construction (2025$)/$5.5B nominal -- plus 4.6%/yr appreciation to a $10.1B increment by 2051.</t>
  </si>
  <si>
    <t xml:space="preserve">* Appraisal: DOR values big data centers at construction cost ~4 yrs, then an INCOME-BASED approach the Port assumes RAISES value. If a facility idles, income-based valuation cuts the other way.</t>
  </si>
  <si>
    <t xml:space="preserve">2) WHAT IS IN THE $3.6B (Exhibit 4) -- and 'is Helion in here?'</t>
  </si>
  <si>
    <t xml:space="preserve">* KNOWN: Microsoft + Sabey data centers, plus ONE small 'additional development' (~$30M) the Port's footnote says 'may not be taxable and therefore may not generate tax allocation revenues.'</t>
  </si>
  <si>
    <t xml:space="preserve">* HELION is NOT a named known project. The named anchors are Microsoft &amp; Sabey. A Helion-type bet sits in the SPECULATIVE bucket, if counted at all.</t>
  </si>
  <si>
    <t xml:space="preserve">* HELION (verified): its parcel 212205000050 (401-ac Chelan PUD land) is INSIDE the TIA boundary but assessed at $0 -- public, tax-exempt. It is the report's unnamed 'additional development' ($30M real/$160M personal, 'may not be taxable'). On exempt PUD land it pays leasehold excise tax IN LIEU of property tax, and its value is mostly equipment (excluded from the increment) -&gt; Helion adds ~$0 to the increment. It does NOT de-risk the bonds; it reinforces the but-for critique (a ~$600M project proceeding WITHOUT needing the TIF).</t>
  </si>
  <si>
    <t xml:space="preserve">* SPECULATIVE (no signed tenant): future data centers $1.47B + other industrial $0.66B. ~41% of new construction is speculative future data centers the Port ASSUMES will appear.</t>
  </si>
  <si>
    <t xml:space="preserve">3) COMPOSITION OF NEW CONSTRUCTION (real property, 2025 $)</t>
  </si>
  <si>
    <t xml:space="preserve">Bucket</t>
  </si>
  <si>
    <t xml:space="preserve">Value</t>
  </si>
  <si>
    <t xml:space="preserve">Share</t>
  </si>
  <si>
    <t xml:space="preserve">Known data centers (Microsoft + Sabey + $30M other)</t>
  </si>
  <si>
    <t xml:space="preserve">$1.48B</t>
  </si>
  <si>
    <t xml:space="preserve">41%</t>
  </si>
  <si>
    <t xml:space="preserve">Speculative future data centers</t>
  </si>
  <si>
    <t xml:space="preserve">$1.47B</t>
  </si>
  <si>
    <t xml:space="preserve">Speculative 'other' industrial</t>
  </si>
  <si>
    <t xml:space="preserve">$0.66B</t>
  </si>
  <si>
    <t xml:space="preserve">18%</t>
  </si>
  <si>
    <t xml:space="preserve">TOTAL new construction</t>
  </si>
  <si>
    <t xml:space="preserve">$3.60B</t>
  </si>
  <si>
    <t xml:space="preserve">100%</t>
  </si>
  <si>
    <t xml:space="preserve">  -- of which ALL data centers</t>
  </si>
  <si>
    <t xml:space="preserve">$2.92B</t>
  </si>
  <si>
    <t xml:space="preserve">~81%</t>
  </si>
  <si>
    <t xml:space="preserve">4) SIZING A SINGLE-TENANT IDLING (haircut % on the 'Built-then-Idled' tab)</t>
  </si>
  <si>
    <t xml:space="preserve">Haircut</t>
  </si>
  <si>
    <t xml:space="preserve">Basis</t>
  </si>
  <si>
    <t xml:space="preserve">'Other' spec bucket = 18%, split across projects</t>
  </si>
  <si>
    <t xml:space="preserve">Known DCs = 41%; Sabey smaller share</t>
  </si>
  <si>
    <t xml:space="preserve">ALL speculative future data centers  &lt;&lt;  PORT'S OWN CONSERVATIVE CASE</t>
  </si>
  <si>
    <t xml:space="preserve">Port Appendix C cut 25-yr revenue 37%</t>
  </si>
  <si>
    <t xml:space="preserve">All data centers = ~81% of new construction</t>
  </si>
  <si>
    <t xml:space="preserve">PORT'S OWN DOWNSIDE (see 'Conservative ($64M, App C)' tab): removing speculative data centers cut revenue 37% -- yet coverage stayed ~1.0 (min 1.01). Neither Port scenario carries a normal 1.25-1.50x cushion.</t>
  </si>
  <si>
    <t xml:space="preserve">5) REALITY-CHECK CAVEATS (keep it credible)</t>
  </si>
  <si>
    <t xml:space="preserve">* Increment excludes servers &amp; an idled shell keeps some value -&gt; a single tenant idling is likely 40-70% of its share, not 100%.</t>
  </si>
  <si>
    <t xml:space="preserve">* WA levy rates are budget-based: countywide DEPRECIATION is partly self-correcting (rates rise). A specific project not being built is NOT self-correcting.</t>
  </si>
  <si>
    <t xml:space="preserve">* Idling can stop COLLECTION entirely (delinquency/bankruptcy) even if AV stays on the books -- foreclosure takes years.</t>
  </si>
  <si>
    <t xml:space="preserve">* These are LTGO (general obligation) bonds: any shortfall is a Port/taxpayer obligation via the levy, NOT a bondholder loss.</t>
  </si>
  <si>
    <t xml:space="preserve">Sources: Port of Chelan County, Final Project Analysis, Dec 18 2025 -- Exhibits 4, 8, 10, 13, 15-17, Appendix C (Ex. 20-25).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</si>
</sst>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%"/>
    <numFmt numFmtId="166" formatCode="\$#,##0;&quot;($&quot;#,##0\);\-"/>
    <numFmt numFmtId="167" formatCode="0.000"/>
    <numFmt numFmtId="168" formatCode="0.00\x"/>
    <numFmt numFmtId="169" formatCode="0"/>
    <numFmt numFmtId="170" formatCode="\$#,##0"/>
    <numFmt numFmtId="171" formatCode="0.000000"/>
    <numFmt numFmtId="172" formatCode="0.0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8"/>
      <name val="Arial"/>
      <family val="0"/>
      <charset val="1"/>
    </font>
    <font>
      <b val="true"/>
      <sz val="9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9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4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  <fill>
      <patternFill patternType="solid">
        <fgColor rgb="FFFFE699"/>
        <bgColor rgb="FFFFCC99"/>
      </patternFill>
    </fill>
    <fill>
      <patternFill patternType="solid">
        <fgColor rgb="FFD9D9D9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C6" activeCellId="0" sqref="C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6.29"/>
    <col collapsed="false" customWidth="true" hidden="false" outlineLevel="0" max="3" min="3" style="1" width="17.15"/>
    <col collapsed="false" customWidth="true" hidden="false" outlineLevel="0" max="4" min="4" style="1" width="14.42"/>
    <col collapsed="false" customWidth="true" hidden="false" outlineLevel="0" max="5" min="5" style="1" width="16.14"/>
    <col collapsed="false" customWidth="true" hidden="false" outlineLevel="0" max="6" min="6" style="1" width="15"/>
    <col collapsed="false" customWidth="true" hidden="false" outlineLevel="0" max="7" min="7" style="1" width="18.71"/>
    <col collapsed="false" customWidth="true" hidden="false" outlineLevel="0" max="8" min="8" style="1" width="10"/>
    <col collapsed="false" customWidth="true" hidden="false" outlineLevel="0" max="9" min="9" style="1" width="12"/>
    <col collapsed="false" customWidth="true" hidden="false" outlineLevel="0" max="10" min="10" style="1" width="9"/>
    <col collapsed="false" customWidth="true" hidden="false" outlineLevel="0" max="11" min="11" style="1" width="14"/>
    <col collapsed="false" customWidth="true" hidden="false" outlineLevel="0" max="12" min="12" style="1" width="16.84"/>
    <col collapsed="false" customWidth="true" hidden="false" outlineLevel="0" max="13" min="13" style="1" width="12"/>
    <col collapsed="false" customWidth="true" hidden="false" outlineLevel="0" max="14" min="14" style="1" width="15"/>
  </cols>
  <sheetData>
    <row r="1" customFormat="false" ht="16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5" t="s">
        <v>3</v>
      </c>
      <c r="B5" s="5"/>
      <c r="C5" s="6" t="n">
        <v>0.1</v>
      </c>
      <c r="D5" s="3" t="s">
        <v>4</v>
      </c>
    </row>
    <row r="7" customFormat="false" ht="36" hidden="false" customHeight="true" outlineLevel="0" collapsed="false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</row>
    <row r="8" customFormat="false" ht="15" hidden="false" customHeight="true" outlineLevel="0" collapsed="false">
      <c r="A8" s="8" t="s">
        <v>19</v>
      </c>
      <c r="B8" s="9" t="n">
        <v>42000000</v>
      </c>
      <c r="C8" s="9" t="n">
        <v>0</v>
      </c>
      <c r="D8" s="10" t="n">
        <f aca="false">E8-C8</f>
        <v>0</v>
      </c>
      <c r="E8" s="9" t="n">
        <v>0</v>
      </c>
      <c r="F8" s="10" t="n">
        <f aca="false">0+B8-C8</f>
        <v>42000000</v>
      </c>
      <c r="G8" s="9" t="n">
        <v>0</v>
      </c>
      <c r="H8" s="11" t="n">
        <v>0</v>
      </c>
      <c r="I8" s="10" t="n">
        <f aca="false">G8*H8/1000</f>
        <v>0</v>
      </c>
      <c r="J8" s="12" t="str">
        <f aca="false">IF(E8=0,"-",I8/E8)</f>
        <v>-</v>
      </c>
      <c r="K8" s="10" t="str">
        <f aca="false">IF(OR(E8=0,H8=0),"-",E8*1000/H8)</f>
        <v>-</v>
      </c>
      <c r="L8" s="10" t="str">
        <f aca="false">IF(E8=0,"-",G8-K8)</f>
        <v>-</v>
      </c>
      <c r="M8" s="10" t="n">
        <f aca="false">G8*(1-$C$5)*H8/1000</f>
        <v>0</v>
      </c>
      <c r="N8" s="10" t="n">
        <f aca="false">MAX(0,E8-M8)</f>
        <v>0</v>
      </c>
    </row>
    <row r="9" customFormat="false" ht="15" hidden="false" customHeight="true" outlineLevel="0" collapsed="false">
      <c r="A9" s="8" t="s">
        <v>20</v>
      </c>
      <c r="B9" s="9" t="n">
        <v>0</v>
      </c>
      <c r="C9" s="9" t="n">
        <v>0</v>
      </c>
      <c r="D9" s="10" t="n">
        <f aca="false">E9-C9</f>
        <v>0</v>
      </c>
      <c r="E9" s="9" t="n">
        <v>0</v>
      </c>
      <c r="F9" s="10" t="n">
        <f aca="false">F8+B9-C9</f>
        <v>42000000</v>
      </c>
      <c r="G9" s="9" t="n">
        <v>12684969</v>
      </c>
      <c r="H9" s="11" t="n">
        <v>2.801883</v>
      </c>
      <c r="I9" s="10" t="n">
        <f aca="false">G9*H9/1000</f>
        <v>35541.798996627</v>
      </c>
      <c r="J9" s="12" t="str">
        <f aca="false">IF(E9=0,"-",I9/E9)</f>
        <v>-</v>
      </c>
      <c r="K9" s="10" t="str">
        <f aca="false">IF(OR(E9=0,H9=0),"-",E9*1000/H9)</f>
        <v>-</v>
      </c>
      <c r="L9" s="10" t="str">
        <f aca="false">IF(E9=0,"-",G9-K9)</f>
        <v>-</v>
      </c>
      <c r="M9" s="10" t="n">
        <f aca="false">G9*(1-$C$5)*H9/1000</f>
        <v>31987.6190969643</v>
      </c>
      <c r="N9" s="10" t="n">
        <f aca="false">MAX(0,E9-M9)</f>
        <v>0</v>
      </c>
    </row>
    <row r="10" customFormat="false" ht="15" hidden="false" customHeight="true" outlineLevel="0" collapsed="false">
      <c r="A10" s="8" t="s">
        <v>21</v>
      </c>
      <c r="B10" s="9" t="n">
        <v>0</v>
      </c>
      <c r="C10" s="9" t="n">
        <v>0</v>
      </c>
      <c r="D10" s="10" t="n">
        <f aca="false">E10-C10</f>
        <v>0</v>
      </c>
      <c r="E10" s="9" t="n">
        <v>0</v>
      </c>
      <c r="F10" s="10" t="n">
        <f aca="false">F9+B10-C10</f>
        <v>42000000</v>
      </c>
      <c r="G10" s="9" t="n">
        <v>225514176</v>
      </c>
      <c r="H10" s="11" t="n">
        <v>2.702946</v>
      </c>
      <c r="I10" s="10" t="n">
        <f aca="false">G10*H10/1000</f>
        <v>609552.639962496</v>
      </c>
      <c r="J10" s="12" t="str">
        <f aca="false">IF(E10=0,"-",I10/E10)</f>
        <v>-</v>
      </c>
      <c r="K10" s="10" t="str">
        <f aca="false">IF(OR(E10=0,H10=0),"-",E10*1000/H10)</f>
        <v>-</v>
      </c>
      <c r="L10" s="10" t="str">
        <f aca="false">IF(E10=0,"-",G10-K10)</f>
        <v>-</v>
      </c>
      <c r="M10" s="10" t="n">
        <f aca="false">G10*(1-$C$5)*H10/1000</f>
        <v>548597.375966246</v>
      </c>
      <c r="N10" s="10" t="n">
        <f aca="false">MAX(0,E10-M10)</f>
        <v>0</v>
      </c>
    </row>
    <row r="11" customFormat="false" ht="15" hidden="false" customHeight="true" outlineLevel="0" collapsed="false">
      <c r="A11" s="8" t="s">
        <v>22</v>
      </c>
      <c r="B11" s="9" t="n">
        <v>23500000</v>
      </c>
      <c r="C11" s="9" t="n">
        <v>0</v>
      </c>
      <c r="D11" s="10" t="n">
        <f aca="false">E11-C11</f>
        <v>0</v>
      </c>
      <c r="E11" s="9" t="n">
        <v>0</v>
      </c>
      <c r="F11" s="10" t="n">
        <f aca="false">F10+B11-C11</f>
        <v>65500000</v>
      </c>
      <c r="G11" s="9" t="n">
        <v>575401259</v>
      </c>
      <c r="H11" s="11" t="n">
        <v>2.61309</v>
      </c>
      <c r="I11" s="10" t="n">
        <f aca="false">G11*H11/1000</f>
        <v>1503575.27588031</v>
      </c>
      <c r="J11" s="12" t="str">
        <f aca="false">IF(E11=0,"-",I11/E11)</f>
        <v>-</v>
      </c>
      <c r="K11" s="10" t="str">
        <f aca="false">IF(OR(E11=0,H11=0),"-",E11*1000/H11)</f>
        <v>-</v>
      </c>
      <c r="L11" s="10" t="str">
        <f aca="false">IF(E11=0,"-",G11-K11)</f>
        <v>-</v>
      </c>
      <c r="M11" s="10" t="n">
        <f aca="false">G11*(1-$C$5)*H11/1000</f>
        <v>1353217.74829228</v>
      </c>
      <c r="N11" s="10" t="n">
        <f aca="false">MAX(0,E11-M11)</f>
        <v>0</v>
      </c>
    </row>
    <row r="12" customFormat="false" ht="15" hidden="false" customHeight="true" outlineLevel="0" collapsed="false">
      <c r="A12" s="8" t="s">
        <v>23</v>
      </c>
      <c r="B12" s="9" t="n">
        <v>0</v>
      </c>
      <c r="C12" s="9" t="n">
        <v>0</v>
      </c>
      <c r="D12" s="10" t="n">
        <f aca="false">E12-C12</f>
        <v>2417375</v>
      </c>
      <c r="E12" s="9" t="n">
        <v>2417375</v>
      </c>
      <c r="F12" s="10" t="n">
        <f aca="false">F11+B12-C12</f>
        <v>65500000</v>
      </c>
      <c r="G12" s="9" t="n">
        <v>972752562</v>
      </c>
      <c r="H12" s="11" t="n">
        <v>2.530088</v>
      </c>
      <c r="I12" s="10" t="n">
        <f aca="false">G12*H12/1000</f>
        <v>2461149.58408546</v>
      </c>
      <c r="J12" s="12" t="n">
        <f aca="false">IF(E12=0,"-",I12/E12)</f>
        <v>1.01810831339178</v>
      </c>
      <c r="K12" s="10" t="n">
        <f aca="false">IF(OR(E12=0,H12=0),"-",E12*1000/H12)</f>
        <v>955450956.646567</v>
      </c>
      <c r="L12" s="10" t="n">
        <f aca="false">IF(E12=0,"-",G12-K12)</f>
        <v>17301605.3534328</v>
      </c>
      <c r="M12" s="10" t="n">
        <f aca="false">G12*(1-$C$5)*H12/1000</f>
        <v>2215034.62567691</v>
      </c>
      <c r="N12" s="10" t="n">
        <f aca="false">MAX(0,E12-M12)</f>
        <v>202340.374323089</v>
      </c>
    </row>
    <row r="13" customFormat="false" ht="15" hidden="false" customHeight="true" outlineLevel="0" collapsed="false">
      <c r="A13" s="8" t="s">
        <v>24</v>
      </c>
      <c r="B13" s="9" t="n">
        <v>0</v>
      </c>
      <c r="C13" s="9" t="n">
        <v>0</v>
      </c>
      <c r="D13" s="10" t="n">
        <f aca="false">E13-C13</f>
        <v>2417375</v>
      </c>
      <c r="E13" s="9" t="n">
        <v>2417375</v>
      </c>
      <c r="F13" s="10" t="n">
        <f aca="false">F12+B13-C13</f>
        <v>65500000</v>
      </c>
      <c r="G13" s="9" t="n">
        <v>1390371695</v>
      </c>
      <c r="H13" s="11" t="n">
        <v>2.455658</v>
      </c>
      <c r="I13" s="10" t="n">
        <f aca="false">G13*H13/1000</f>
        <v>3414277.37580031</v>
      </c>
      <c r="J13" s="12" t="n">
        <f aca="false">IF(E13=0,"-",I13/E13)</f>
        <v>1.41239045485302</v>
      </c>
      <c r="K13" s="10" t="n">
        <f aca="false">IF(OR(E13=0,H13=0),"-",E13*1000/H13)</f>
        <v>984410288.403353</v>
      </c>
      <c r="L13" s="10" t="n">
        <f aca="false">IF(E13=0,"-",G13-K13)</f>
        <v>405961406.596648</v>
      </c>
      <c r="M13" s="10" t="n">
        <f aca="false">G13*(1-$C$5)*H13/1000</f>
        <v>3072849.63822028</v>
      </c>
      <c r="N13" s="10" t="n">
        <f aca="false">MAX(0,E13-M13)</f>
        <v>0</v>
      </c>
    </row>
    <row r="14" customFormat="false" ht="15" hidden="false" customHeight="true" outlineLevel="0" collapsed="false">
      <c r="A14" s="8" t="s">
        <v>25</v>
      </c>
      <c r="B14" s="9" t="n">
        <v>18000000</v>
      </c>
      <c r="C14" s="9" t="n">
        <v>120000</v>
      </c>
      <c r="D14" s="10" t="n">
        <f aca="false">E14-C14</f>
        <v>2417375</v>
      </c>
      <c r="E14" s="9" t="n">
        <v>2537375</v>
      </c>
      <c r="F14" s="10" t="n">
        <f aca="false">F13+B14-C14</f>
        <v>83380000</v>
      </c>
      <c r="G14" s="9" t="n">
        <v>1706108035</v>
      </c>
      <c r="H14" s="11" t="n">
        <v>2.388347</v>
      </c>
      <c r="I14" s="10" t="n">
        <f aca="false">G14*H14/1000</f>
        <v>4074778.00706814</v>
      </c>
      <c r="J14" s="12" t="n">
        <f aca="false">IF(E14=0,"-",I14/E14)</f>
        <v>1.60590295366989</v>
      </c>
      <c r="K14" s="10" t="n">
        <f aca="false">IF(OR(E14=0,H14=0),"-",E14*1000/H14)</f>
        <v>1062397968.13445</v>
      </c>
      <c r="L14" s="10" t="n">
        <f aca="false">IF(E14=0,"-",G14-K14)</f>
        <v>643710066.865554</v>
      </c>
      <c r="M14" s="10" t="n">
        <f aca="false">G14*(1-$C$5)*H14/1000</f>
        <v>3667300.20636133</v>
      </c>
      <c r="N14" s="10" t="n">
        <f aca="false">MAX(0,E14-M14)</f>
        <v>0</v>
      </c>
    </row>
    <row r="15" customFormat="false" ht="15" hidden="false" customHeight="true" outlineLevel="0" collapsed="false">
      <c r="A15" s="8" t="s">
        <v>26</v>
      </c>
      <c r="B15" s="9" t="n">
        <v>0</v>
      </c>
      <c r="C15" s="9" t="n">
        <v>845000</v>
      </c>
      <c r="D15" s="10" t="n">
        <f aca="false">E15-C15</f>
        <v>3726050</v>
      </c>
      <c r="E15" s="9" t="n">
        <v>4571050</v>
      </c>
      <c r="F15" s="10" t="n">
        <f aca="false">F14+B15-C15</f>
        <v>82535000</v>
      </c>
      <c r="G15" s="9" t="n">
        <v>2038795926</v>
      </c>
      <c r="H15" s="11" t="n">
        <v>2.320451</v>
      </c>
      <c r="I15" s="10" t="n">
        <f aca="false">G15*H15/1000</f>
        <v>4730926.04528263</v>
      </c>
      <c r="J15" s="12" t="n">
        <f aca="false">IF(E15=0,"-",I15/E15)</f>
        <v>1.03497578133747</v>
      </c>
      <c r="K15" s="10" t="n">
        <f aca="false">IF(OR(E15=0,H15=0),"-",E15*1000/H15)</f>
        <v>1969897231.1848</v>
      </c>
      <c r="L15" s="10" t="n">
        <f aca="false">IF(E15=0,"-",G15-K15)</f>
        <v>68898694.8152001</v>
      </c>
      <c r="M15" s="10" t="n">
        <f aca="false">G15*(1-$C$5)*H15/1000</f>
        <v>4257833.44075436</v>
      </c>
      <c r="N15" s="10" t="n">
        <f aca="false">MAX(0,E15-M15)</f>
        <v>313216.559245637</v>
      </c>
    </row>
    <row r="16" customFormat="false" ht="15" hidden="false" customHeight="true" outlineLevel="0" collapsed="false">
      <c r="A16" s="8" t="s">
        <v>27</v>
      </c>
      <c r="B16" s="9" t="n">
        <v>0</v>
      </c>
      <c r="C16" s="9" t="n">
        <v>1080000</v>
      </c>
      <c r="D16" s="10" t="n">
        <f aca="false">E16-C16</f>
        <v>3683800</v>
      </c>
      <c r="E16" s="9" t="n">
        <v>4763800</v>
      </c>
      <c r="F16" s="10" t="n">
        <f aca="false">F15+B16-C16</f>
        <v>81455000</v>
      </c>
      <c r="G16" s="9" t="n">
        <v>2715522365</v>
      </c>
      <c r="H16" s="11" t="n">
        <v>2.210389</v>
      </c>
      <c r="I16" s="10" t="n">
        <f aca="false">G16*H16/1000</f>
        <v>6002360.76484999</v>
      </c>
      <c r="J16" s="12" t="n">
        <f aca="false">IF(E16=0,"-",I16/E16)</f>
        <v>1.25999428289391</v>
      </c>
      <c r="K16" s="10" t="n">
        <f aca="false">IF(OR(E16=0,H16=0),"-",E16*1000/H16)</f>
        <v>2155186259.07024</v>
      </c>
      <c r="L16" s="10" t="n">
        <f aca="false">IF(E16=0,"-",G16-K16)</f>
        <v>560336105.929764</v>
      </c>
      <c r="M16" s="10" t="n">
        <f aca="false">G16*(1-$C$5)*H16/1000</f>
        <v>5402124.68836499</v>
      </c>
      <c r="N16" s="10" t="n">
        <f aca="false">MAX(0,E16-M16)</f>
        <v>0</v>
      </c>
    </row>
    <row r="17" customFormat="false" ht="15" hidden="false" customHeight="true" outlineLevel="0" collapsed="false">
      <c r="A17" s="8" t="s">
        <v>28</v>
      </c>
      <c r="B17" s="9" t="n">
        <v>22500000</v>
      </c>
      <c r="C17" s="9" t="n">
        <v>1240000</v>
      </c>
      <c r="D17" s="10" t="n">
        <f aca="false">E17-C17</f>
        <v>3629800</v>
      </c>
      <c r="E17" s="9" t="n">
        <v>4869800</v>
      </c>
      <c r="F17" s="10" t="n">
        <f aca="false">F16+B17-C17</f>
        <v>102715000</v>
      </c>
      <c r="G17" s="9" t="n">
        <v>2832893456</v>
      </c>
      <c r="H17" s="11" t="n">
        <v>2.186519</v>
      </c>
      <c r="I17" s="10" t="n">
        <f aca="false">G17*H17/1000</f>
        <v>6194175.36651966</v>
      </c>
      <c r="J17" s="12" t="n">
        <f aca="false">IF(E17=0,"-",I17/E17)</f>
        <v>1.2719568291346</v>
      </c>
      <c r="K17" s="10" t="n">
        <f aca="false">IF(OR(E17=0,H17=0),"-",E17*1000/H17)</f>
        <v>2227193086.36239</v>
      </c>
      <c r="L17" s="10" t="n">
        <f aca="false">IF(E17=0,"-",G17-K17)</f>
        <v>605700369.637613</v>
      </c>
      <c r="M17" s="10" t="n">
        <f aca="false">G17*(1-$C$5)*H17/1000</f>
        <v>5574757.8298677</v>
      </c>
      <c r="N17" s="10" t="n">
        <f aca="false">MAX(0,E17-M17)</f>
        <v>0</v>
      </c>
    </row>
    <row r="18" customFormat="false" ht="15" hidden="false" customHeight="true" outlineLevel="0" collapsed="false">
      <c r="A18" s="8" t="s">
        <v>29</v>
      </c>
      <c r="B18" s="9" t="n">
        <v>0</v>
      </c>
      <c r="C18" s="9" t="n">
        <v>1870000</v>
      </c>
      <c r="D18" s="10" t="n">
        <f aca="false">E18-C18</f>
        <v>4539475</v>
      </c>
      <c r="E18" s="9" t="n">
        <v>6409475</v>
      </c>
      <c r="F18" s="10" t="n">
        <f aca="false">F17+B18-C18</f>
        <v>100845000</v>
      </c>
      <c r="G18" s="9" t="n">
        <v>3544497045</v>
      </c>
      <c r="H18" s="11" t="n">
        <v>2.088785</v>
      </c>
      <c r="I18" s="10" t="n">
        <f aca="false">G18*H18/1000</f>
        <v>7403692.26014033</v>
      </c>
      <c r="J18" s="12" t="n">
        <f aca="false">IF(E18=0,"-",I18/E18)</f>
        <v>1.15511680131997</v>
      </c>
      <c r="K18" s="10" t="n">
        <f aca="false">IF(OR(E18=0,H18=0),"-",E18*1000/H18)</f>
        <v>3068518301.30913</v>
      </c>
      <c r="L18" s="10" t="n">
        <f aca="false">IF(E18=0,"-",G18-K18)</f>
        <v>475978743.690866</v>
      </c>
      <c r="M18" s="10" t="n">
        <f aca="false">G18*(1-$C$5)*H18/1000</f>
        <v>6663323.03412629</v>
      </c>
      <c r="N18" s="10" t="n">
        <f aca="false">MAX(0,E18-M18)</f>
        <v>0</v>
      </c>
    </row>
    <row r="19" customFormat="false" ht="15" hidden="false" customHeight="true" outlineLevel="0" collapsed="false">
      <c r="A19" s="8" t="s">
        <v>30</v>
      </c>
      <c r="B19" s="9" t="n">
        <v>0</v>
      </c>
      <c r="C19" s="9" t="n">
        <v>2170000</v>
      </c>
      <c r="D19" s="10" t="n">
        <f aca="false">E19-C19</f>
        <v>4445975</v>
      </c>
      <c r="E19" s="9" t="n">
        <v>6615975</v>
      </c>
      <c r="F19" s="10" t="n">
        <f aca="false">F18+B19-C19</f>
        <v>98675000</v>
      </c>
      <c r="G19" s="9" t="n">
        <v>3701444057</v>
      </c>
      <c r="H19" s="11" t="n">
        <v>2.069257</v>
      </c>
      <c r="I19" s="10" t="n">
        <f aca="false">G19*H19/1000</f>
        <v>7659239.02505565</v>
      </c>
      <c r="J19" s="12" t="n">
        <f aca="false">IF(E19=0,"-",I19/E19)</f>
        <v>1.15768862866859</v>
      </c>
      <c r="K19" s="10" t="n">
        <f aca="false">IF(OR(E19=0,H19=0),"-",E19*1000/H19)</f>
        <v>3197270807.83102</v>
      </c>
      <c r="L19" s="10" t="n">
        <f aca="false">IF(E19=0,"-",G19-K19)</f>
        <v>504173249.168976</v>
      </c>
      <c r="M19" s="10" t="n">
        <f aca="false">G19*(1-$C$5)*H19/1000</f>
        <v>6893315.12255008</v>
      </c>
      <c r="N19" s="10" t="n">
        <f aca="false">MAX(0,E19-M19)</f>
        <v>0</v>
      </c>
    </row>
    <row r="20" customFormat="false" ht="15" hidden="false" customHeight="true" outlineLevel="0" collapsed="false">
      <c r="A20" s="8" t="s">
        <v>31</v>
      </c>
      <c r="B20" s="9" t="n">
        <v>0</v>
      </c>
      <c r="C20" s="9" t="n">
        <v>2490000</v>
      </c>
      <c r="D20" s="10" t="n">
        <f aca="false">E20-C20</f>
        <v>4337475</v>
      </c>
      <c r="E20" s="9" t="n">
        <v>6827475</v>
      </c>
      <c r="F20" s="10" t="n">
        <f aca="false">F19+B20-C20</f>
        <v>96185000</v>
      </c>
      <c r="G20" s="9" t="n">
        <v>4523485992</v>
      </c>
      <c r="H20" s="11" t="n">
        <v>1.979933</v>
      </c>
      <c r="I20" s="10" t="n">
        <f aca="false">G20*H20/1000</f>
        <v>8956199.19059854</v>
      </c>
      <c r="J20" s="12" t="n">
        <f aca="false">IF(E20=0,"-",I20/E20)</f>
        <v>1.31178791436051</v>
      </c>
      <c r="K20" s="10" t="n">
        <f aca="false">IF(OR(E20=0,H20=0),"-",E20*1000/H20)</f>
        <v>3448336383.09983</v>
      </c>
      <c r="L20" s="10" t="n">
        <f aca="false">IF(E20=0,"-",G20-K20)</f>
        <v>1075149608.90017</v>
      </c>
      <c r="M20" s="10" t="n">
        <f aca="false">G20*(1-$C$5)*H20/1000</f>
        <v>8060579.27153868</v>
      </c>
      <c r="N20" s="10" t="n">
        <f aca="false">MAX(0,E20-M20)</f>
        <v>0</v>
      </c>
    </row>
    <row r="21" customFormat="false" ht="15" hidden="false" customHeight="true" outlineLevel="0" collapsed="false">
      <c r="A21" s="8" t="s">
        <v>32</v>
      </c>
      <c r="B21" s="9" t="n">
        <v>0</v>
      </c>
      <c r="C21" s="9" t="n">
        <v>3740000</v>
      </c>
      <c r="D21" s="10" t="n">
        <f aca="false">E21-C21</f>
        <v>5388963</v>
      </c>
      <c r="E21" s="9" t="n">
        <v>9128963</v>
      </c>
      <c r="F21" s="10" t="n">
        <f aca="false">F20+B21-C21</f>
        <v>92445000</v>
      </c>
      <c r="G21" s="9" t="n">
        <v>4727567921</v>
      </c>
      <c r="H21" s="11" t="n">
        <v>1.960286</v>
      </c>
      <c r="I21" s="10" t="n">
        <f aca="false">G21*H21/1000</f>
        <v>9267385.20958541</v>
      </c>
      <c r="J21" s="12" t="n">
        <f aca="false">IF(E21=0,"-",I21/E21)</f>
        <v>1.01516297191537</v>
      </c>
      <c r="K21" s="10" t="n">
        <f aca="false">IF(OR(E21=0,H21=0),"-",E21*1000/H21)</f>
        <v>4656954648.45436</v>
      </c>
      <c r="L21" s="10" t="n">
        <f aca="false">IF(E21=0,"-",G21-K21)</f>
        <v>70613272.5456419</v>
      </c>
      <c r="M21" s="10" t="n">
        <f aca="false">G21*(1-$C$5)*H21/1000</f>
        <v>8340646.68862687</v>
      </c>
      <c r="N21" s="10" t="n">
        <f aca="false">MAX(0,E21-M21)</f>
        <v>788316.311373135</v>
      </c>
    </row>
    <row r="22" customFormat="false" ht="15" hidden="false" customHeight="true" outlineLevel="0" collapsed="false">
      <c r="A22" s="8" t="s">
        <v>33</v>
      </c>
      <c r="B22" s="9" t="n">
        <v>0</v>
      </c>
      <c r="C22" s="9" t="n">
        <v>4210000</v>
      </c>
      <c r="D22" s="10" t="n">
        <f aca="false">E22-C22</f>
        <v>5198513</v>
      </c>
      <c r="E22" s="9" t="n">
        <v>9408513</v>
      </c>
      <c r="F22" s="10" t="n">
        <f aca="false">F21+B22-C22</f>
        <v>88235000</v>
      </c>
      <c r="G22" s="9" t="n">
        <v>5657944653</v>
      </c>
      <c r="H22" s="11" t="n">
        <v>1.877927</v>
      </c>
      <c r="I22" s="10" t="n">
        <f aca="false">G22*H22/1000</f>
        <v>10625207.0283743</v>
      </c>
      <c r="J22" s="12" t="n">
        <f aca="false">IF(E22=0,"-",I22/E22)</f>
        <v>1.12931841922037</v>
      </c>
      <c r="K22" s="10" t="n">
        <f aca="false">IF(OR(E22=0,H22=0),"-",E22*1000/H22)</f>
        <v>5010052573.92859</v>
      </c>
      <c r="L22" s="10" t="n">
        <f aca="false">IF(E22=0,"-",G22-K22)</f>
        <v>647892079.071407</v>
      </c>
      <c r="M22" s="10" t="n">
        <f aca="false">G22*(1-$C$5)*H22/1000</f>
        <v>9562686.3255369</v>
      </c>
      <c r="N22" s="10" t="n">
        <f aca="false">MAX(0,E22-M22)</f>
        <v>0</v>
      </c>
    </row>
    <row r="23" customFormat="false" ht="15" hidden="false" customHeight="true" outlineLevel="0" collapsed="false">
      <c r="A23" s="8" t="s">
        <v>34</v>
      </c>
      <c r="B23" s="9" t="n">
        <v>0</v>
      </c>
      <c r="C23" s="9" t="n">
        <v>4710000</v>
      </c>
      <c r="D23" s="10" t="n">
        <f aca="false">E23-C23</f>
        <v>4984100</v>
      </c>
      <c r="E23" s="9" t="n">
        <v>9694100</v>
      </c>
      <c r="F23" s="10" t="n">
        <f aca="false">F22+B23-C23</f>
        <v>83525000</v>
      </c>
      <c r="G23" s="9" t="n">
        <v>5913625960</v>
      </c>
      <c r="H23" s="11" t="n">
        <v>1.858324</v>
      </c>
      <c r="I23" s="10" t="n">
        <f aca="false">G23*H23/1000</f>
        <v>10989433.048491</v>
      </c>
      <c r="J23" s="12" t="n">
        <f aca="false">IF(E23=0,"-",I23/E23)</f>
        <v>1.13362076402049</v>
      </c>
      <c r="K23" s="10" t="n">
        <f aca="false">IF(OR(E23=0,H23=0),"-",E23*1000/H23)</f>
        <v>5216582253.68666</v>
      </c>
      <c r="L23" s="10" t="n">
        <f aca="false">IF(E23=0,"-",G23-K23)</f>
        <v>697043706.313345</v>
      </c>
      <c r="M23" s="10" t="n">
        <f aca="false">G23*(1-$C$5)*H23/1000</f>
        <v>9890489.74364194</v>
      </c>
      <c r="N23" s="10" t="n">
        <f aca="false">MAX(0,E23-M23)</f>
        <v>0</v>
      </c>
    </row>
    <row r="24" customFormat="false" ht="15" hidden="false" customHeight="true" outlineLevel="0" collapsed="false">
      <c r="A24" s="8" t="s">
        <v>35</v>
      </c>
      <c r="B24" s="9" t="n">
        <v>0</v>
      </c>
      <c r="C24" s="9" t="n">
        <v>5245000</v>
      </c>
      <c r="D24" s="10" t="n">
        <f aca="false">E24-C24</f>
        <v>4735438</v>
      </c>
      <c r="E24" s="9" t="n">
        <v>9980438</v>
      </c>
      <c r="F24" s="10" t="n">
        <f aca="false">F23+B24-C24</f>
        <v>78280000</v>
      </c>
      <c r="G24" s="9" t="n">
        <v>6212476662</v>
      </c>
      <c r="H24" s="11" t="n">
        <v>1.813731</v>
      </c>
      <c r="I24" s="10" t="n">
        <f aca="false">G24*H24/1000</f>
        <v>11267761.5086459</v>
      </c>
      <c r="J24" s="12" t="n">
        <f aca="false">IF(E24=0,"-",I24/E24)</f>
        <v>1.12898467067737</v>
      </c>
      <c r="K24" s="10" t="n">
        <f aca="false">IF(OR(E24=0,H24=0),"-",E24*1000/H24)</f>
        <v>5502711262.0339</v>
      </c>
      <c r="L24" s="10" t="n">
        <f aca="false">IF(E24=0,"-",G24-K24)</f>
        <v>709765399.966105</v>
      </c>
      <c r="M24" s="10" t="n">
        <f aca="false">G24*(1-$C$5)*H24/1000</f>
        <v>10140985.3577813</v>
      </c>
      <c r="N24" s="10" t="n">
        <f aca="false">MAX(0,E24-M24)</f>
        <v>0</v>
      </c>
    </row>
    <row r="25" customFormat="false" ht="15" hidden="false" customHeight="true" outlineLevel="0" collapsed="false">
      <c r="A25" s="8" t="s">
        <v>36</v>
      </c>
      <c r="B25" s="9" t="n">
        <v>0</v>
      </c>
      <c r="C25" s="9" t="n">
        <v>5815000</v>
      </c>
      <c r="D25" s="10" t="n">
        <f aca="false">E25-C25</f>
        <v>4455638</v>
      </c>
      <c r="E25" s="9" t="n">
        <v>10270638</v>
      </c>
      <c r="F25" s="10" t="n">
        <f aca="false">F24+B25-C25</f>
        <v>72465000</v>
      </c>
      <c r="G25" s="9" t="n">
        <v>6527662280</v>
      </c>
      <c r="H25" s="11" t="n">
        <v>1.765911</v>
      </c>
      <c r="I25" s="10" t="n">
        <f aca="false">G25*H25/1000</f>
        <v>11527270.6245371</v>
      </c>
      <c r="J25" s="12" t="n">
        <f aca="false">IF(E25=0,"-",I25/E25)</f>
        <v>1.1223519536505</v>
      </c>
      <c r="K25" s="10" t="n">
        <f aca="false">IF(OR(E25=0,H25=0),"-",E25*1000/H25)</f>
        <v>5816056415.07415</v>
      </c>
      <c r="L25" s="10" t="n">
        <f aca="false">IF(E25=0,"-",G25-K25)</f>
        <v>711605864.925854</v>
      </c>
      <c r="M25" s="10" t="n">
        <f aca="false">G25*(1-$C$5)*H25/1000</f>
        <v>10374543.5620834</v>
      </c>
      <c r="N25" s="10" t="n">
        <f aca="false">MAX(0,E25-M25)</f>
        <v>0</v>
      </c>
    </row>
    <row r="26" customFormat="false" ht="15" hidden="false" customHeight="true" outlineLevel="0" collapsed="false">
      <c r="A26" s="8" t="s">
        <v>37</v>
      </c>
      <c r="B26" s="9" t="n">
        <v>0</v>
      </c>
      <c r="C26" s="9" t="n">
        <v>6430000</v>
      </c>
      <c r="D26" s="10" t="n">
        <f aca="false">E26-C26</f>
        <v>4145350</v>
      </c>
      <c r="E26" s="9" t="n">
        <v>10575350</v>
      </c>
      <c r="F26" s="10" t="n">
        <f aca="false">F25+B26-C26</f>
        <v>66035000</v>
      </c>
      <c r="G26" s="9" t="n">
        <v>6891710491</v>
      </c>
      <c r="H26" s="11" t="n">
        <v>1.718313</v>
      </c>
      <c r="I26" s="10" t="n">
        <f aca="false">G26*H26/1000</f>
        <v>11842115.7289217</v>
      </c>
      <c r="J26" s="12" t="n">
        <f aca="false">IF(E26=0,"-",I26/E26)</f>
        <v>1.11978475690371</v>
      </c>
      <c r="K26" s="10" t="n">
        <f aca="false">IF(OR(E26=0,H26=0),"-",E26*1000/H26)</f>
        <v>6154495717.60209</v>
      </c>
      <c r="L26" s="10" t="n">
        <f aca="false">IF(E26=0,"-",G26-K26)</f>
        <v>737214773.39791</v>
      </c>
      <c r="M26" s="10" t="n">
        <f aca="false">G26*(1-$C$5)*H26/1000</f>
        <v>10657904.1560295</v>
      </c>
      <c r="N26" s="10" t="n">
        <f aca="false">MAX(0,E26-M26)</f>
        <v>0</v>
      </c>
    </row>
    <row r="27" customFormat="false" ht="15" hidden="false" customHeight="true" outlineLevel="0" collapsed="false">
      <c r="A27" s="8" t="s">
        <v>38</v>
      </c>
      <c r="B27" s="9" t="n">
        <v>0</v>
      </c>
      <c r="C27" s="9" t="n">
        <v>7080000</v>
      </c>
      <c r="D27" s="10" t="n">
        <f aca="false">E27-C27</f>
        <v>3795350</v>
      </c>
      <c r="E27" s="9" t="n">
        <v>10875350</v>
      </c>
      <c r="F27" s="10" t="n">
        <f aca="false">F26+B27-C27</f>
        <v>58955000</v>
      </c>
      <c r="G27" s="9" t="n">
        <v>7275336255</v>
      </c>
      <c r="H27" s="11" t="n">
        <v>1.6715</v>
      </c>
      <c r="I27" s="10" t="n">
        <f aca="false">G27*H27/1000</f>
        <v>12160724.5502325</v>
      </c>
      <c r="J27" s="12" t="n">
        <f aca="false">IF(E27=0,"-",I27/E27)</f>
        <v>1.11819155707471</v>
      </c>
      <c r="K27" s="10" t="n">
        <f aca="false">IF(OR(E27=0,H27=0),"-",E27*1000/H27)</f>
        <v>6506341609.33293</v>
      </c>
      <c r="L27" s="10" t="n">
        <f aca="false">IF(E27=0,"-",G27-K27)</f>
        <v>768994645.667066</v>
      </c>
      <c r="M27" s="10" t="n">
        <f aca="false">G27*(1-$C$5)*H27/1000</f>
        <v>10944652.0952093</v>
      </c>
      <c r="N27" s="10" t="n">
        <f aca="false">MAX(0,E27-M27)</f>
        <v>0</v>
      </c>
    </row>
    <row r="28" customFormat="false" ht="15" hidden="false" customHeight="true" outlineLevel="0" collapsed="false">
      <c r="A28" s="8" t="s">
        <v>39</v>
      </c>
      <c r="B28" s="9" t="n">
        <v>0</v>
      </c>
      <c r="C28" s="9" t="n">
        <v>7780000</v>
      </c>
      <c r="D28" s="10" t="n">
        <f aca="false">E28-C28</f>
        <v>3406825</v>
      </c>
      <c r="E28" s="9" t="n">
        <v>11186825</v>
      </c>
      <c r="F28" s="10" t="n">
        <f aca="false">F27+B28-C28</f>
        <v>51175000</v>
      </c>
      <c r="G28" s="9" t="n">
        <v>7679570381</v>
      </c>
      <c r="H28" s="11" t="n">
        <v>1.62558</v>
      </c>
      <c r="I28" s="10" t="n">
        <f aca="false">G28*H28/1000</f>
        <v>12483756.019946</v>
      </c>
      <c r="J28" s="12" t="n">
        <f aca="false">IF(E28=0,"-",I28/E28)</f>
        <v>1.11593378996686</v>
      </c>
      <c r="K28" s="10" t="n">
        <f aca="false">IF(OR(E28=0,H28=0),"-",E28*1000/H28)</f>
        <v>6881743746.84728</v>
      </c>
      <c r="L28" s="10" t="n">
        <f aca="false">IF(E28=0,"-",G28-K28)</f>
        <v>797826634.152721</v>
      </c>
      <c r="M28" s="10" t="n">
        <f aca="false">G28*(1-$C$5)*H28/1000</f>
        <v>11235380.4179514</v>
      </c>
      <c r="N28" s="10" t="n">
        <f aca="false">MAX(0,E28-M28)</f>
        <v>0</v>
      </c>
    </row>
    <row r="29" customFormat="false" ht="15" hidden="false" customHeight="true" outlineLevel="0" collapsed="false">
      <c r="A29" s="8" t="s">
        <v>40</v>
      </c>
      <c r="B29" s="9" t="n">
        <v>0</v>
      </c>
      <c r="C29" s="9" t="n">
        <v>8525000</v>
      </c>
      <c r="D29" s="10" t="n">
        <f aca="false">E29-C29</f>
        <v>2972388</v>
      </c>
      <c r="E29" s="9" t="n">
        <v>11497388</v>
      </c>
      <c r="F29" s="10" t="n">
        <f aca="false">F28+B29-C29</f>
        <v>42650000</v>
      </c>
      <c r="G29" s="9" t="n">
        <v>8105497087</v>
      </c>
      <c r="H29" s="11" t="n">
        <v>1.580546</v>
      </c>
      <c r="I29" s="10" t="n">
        <f aca="false">G29*H29/1000</f>
        <v>12811110.9988695</v>
      </c>
      <c r="J29" s="12" t="n">
        <f aca="false">IF(E29=0,"-",I29/E29)</f>
        <v>1.11426273505508</v>
      </c>
      <c r="K29" s="10" t="n">
        <f aca="false">IF(OR(E29=0,H29=0),"-",E29*1000/H29)</f>
        <v>7274314066.15182</v>
      </c>
      <c r="L29" s="10" t="n">
        <f aca="false">IF(E29=0,"-",G29-K29)</f>
        <v>831183020.848177</v>
      </c>
      <c r="M29" s="10" t="n">
        <f aca="false">G29*(1-$C$5)*H29/1000</f>
        <v>11529999.8989826</v>
      </c>
      <c r="N29" s="10" t="n">
        <f aca="false">MAX(0,E29-M29)</f>
        <v>0</v>
      </c>
    </row>
    <row r="30" customFormat="false" ht="15" hidden="false" customHeight="true" outlineLevel="0" collapsed="false">
      <c r="A30" s="8" t="s">
        <v>41</v>
      </c>
      <c r="B30" s="9" t="n">
        <v>0</v>
      </c>
      <c r="C30" s="9" t="n">
        <v>9315000</v>
      </c>
      <c r="D30" s="10" t="n">
        <f aca="false">E30-C30</f>
        <v>2488913</v>
      </c>
      <c r="E30" s="9" t="n">
        <v>11803913</v>
      </c>
      <c r="F30" s="10" t="n">
        <f aca="false">F29+B30-C30</f>
        <v>33335000</v>
      </c>
      <c r="G30" s="9" t="n">
        <v>8554256730</v>
      </c>
      <c r="H30" s="11" t="n">
        <v>1.536442</v>
      </c>
      <c r="I30" s="10" t="n">
        <f aca="false">G30*H30/1000</f>
        <v>13143119.3187547</v>
      </c>
      <c r="J30" s="12" t="n">
        <f aca="false">IF(E30=0,"-",I30/E30)</f>
        <v>1.11345443826591</v>
      </c>
      <c r="K30" s="10" t="n">
        <f aca="false">IF(OR(E30=0,H30=0),"-",E30*1000/H30)</f>
        <v>7682628436.34839</v>
      </c>
      <c r="L30" s="10" t="n">
        <f aca="false">IF(E30=0,"-",G30-K30)</f>
        <v>871628293.651606</v>
      </c>
      <c r="M30" s="10" t="n">
        <f aca="false">G30*(1-$C$5)*H30/1000</f>
        <v>11828807.3868792</v>
      </c>
      <c r="N30" s="10" t="n">
        <f aca="false">MAX(0,E30-M30)</f>
        <v>0</v>
      </c>
    </row>
    <row r="31" customFormat="false" ht="15" hidden="false" customHeight="true" outlineLevel="0" collapsed="false">
      <c r="A31" s="8" t="s">
        <v>42</v>
      </c>
      <c r="B31" s="9" t="n">
        <v>0</v>
      </c>
      <c r="C31" s="9" t="n">
        <v>10175000</v>
      </c>
      <c r="D31" s="10" t="n">
        <f aca="false">E31-C31</f>
        <v>1955113</v>
      </c>
      <c r="E31" s="9" t="n">
        <v>12130113</v>
      </c>
      <c r="F31" s="10" t="n">
        <f aca="false">F30+B31-C31</f>
        <v>23160000</v>
      </c>
      <c r="G31" s="9" t="n">
        <v>9027048679</v>
      </c>
      <c r="H31" s="11" t="n">
        <v>1.493278</v>
      </c>
      <c r="I31" s="10" t="n">
        <f aca="false">G31*H31/1000</f>
        <v>13479893.1972798</v>
      </c>
      <c r="J31" s="12" t="n">
        <f aca="false">IF(E31=0,"-",I31/E31)</f>
        <v>1.11127515442599</v>
      </c>
      <c r="K31" s="10" t="n">
        <f aca="false">IF(OR(E31=0,H31=0),"-",E31*1000/H31)</f>
        <v>8123144518.30135</v>
      </c>
      <c r="L31" s="10" t="n">
        <f aca="false">IF(E31=0,"-",G31-K31)</f>
        <v>903904160.698653</v>
      </c>
      <c r="M31" s="10" t="n">
        <f aca="false">G31*(1-$C$5)*H31/1000</f>
        <v>12131903.8775518</v>
      </c>
      <c r="N31" s="10" t="n">
        <f aca="false">MAX(0,E31-M31)</f>
        <v>0</v>
      </c>
    </row>
    <row r="32" customFormat="false" ht="15" hidden="false" customHeight="true" outlineLevel="0" collapsed="false">
      <c r="A32" s="8" t="s">
        <v>43</v>
      </c>
      <c r="B32" s="9" t="n">
        <v>0</v>
      </c>
      <c r="C32" s="9" t="n">
        <v>11090000</v>
      </c>
      <c r="D32" s="10" t="n">
        <f aca="false">E32-C32</f>
        <v>1366500</v>
      </c>
      <c r="E32" s="9" t="n">
        <v>12456500</v>
      </c>
      <c r="F32" s="10" t="n">
        <f aca="false">F31+B32-C32</f>
        <v>12070000</v>
      </c>
      <c r="G32" s="9" t="n">
        <v>9525134333</v>
      </c>
      <c r="H32" s="11" t="n">
        <v>1.451053</v>
      </c>
      <c r="I32" s="10" t="n">
        <f aca="false">G32*H32/1000</f>
        <v>13821474.7493026</v>
      </c>
      <c r="J32" s="12" t="n">
        <f aca="false">IF(E32=0,"-",I32/E32)</f>
        <v>1.10957931596377</v>
      </c>
      <c r="K32" s="10" t="n">
        <f aca="false">IF(OR(E32=0,H32=0),"-",E32*1000/H32)</f>
        <v>8584455564.33845</v>
      </c>
      <c r="L32" s="10" t="n">
        <f aca="false">IF(E32=0,"-",G32-K32)</f>
        <v>940678768.661551</v>
      </c>
      <c r="M32" s="10" t="n">
        <f aca="false">G32*(1-$C$5)*H32/1000</f>
        <v>12439327.2743724</v>
      </c>
      <c r="N32" s="10" t="n">
        <f aca="false">MAX(0,E32-M32)</f>
        <v>17172.725627616</v>
      </c>
    </row>
    <row r="33" customFormat="false" ht="15" hidden="false" customHeight="true" outlineLevel="0" collapsed="false">
      <c r="A33" s="8" t="s">
        <v>44</v>
      </c>
      <c r="B33" s="9" t="n">
        <v>0</v>
      </c>
      <c r="C33" s="9" t="n">
        <v>12070000</v>
      </c>
      <c r="D33" s="10" t="n">
        <f aca="false">E33-C33</f>
        <v>712175</v>
      </c>
      <c r="E33" s="9" t="n">
        <v>12782175</v>
      </c>
      <c r="F33" s="10" t="n">
        <f aca="false">F32+B33-C33</f>
        <v>0</v>
      </c>
      <c r="G33" s="9" t="n">
        <v>10049840283</v>
      </c>
      <c r="H33" s="11" t="n">
        <v>1.409766</v>
      </c>
      <c r="I33" s="10" t="n">
        <f aca="false">G33*H33/1000</f>
        <v>14167923.1364038</v>
      </c>
      <c r="J33" s="12" t="n">
        <f aca="false">IF(E33=0,"-",I33/E33)</f>
        <v>1.10841254609672</v>
      </c>
      <c r="K33" s="10" t="n">
        <f aca="false">IF(OR(E33=0,H33=0),"-",E33*1000/H33)</f>
        <v>9066877056.19231</v>
      </c>
      <c r="L33" s="10" t="n">
        <f aca="false">IF(E33=0,"-",G33-K33)</f>
        <v>982963226.807695</v>
      </c>
      <c r="M33" s="10" t="n">
        <f aca="false">G33*(1-$C$5)*H33/1000</f>
        <v>12751130.8227634</v>
      </c>
      <c r="N33" s="10" t="n">
        <f aca="false">MAX(0,E33-M33)</f>
        <v>31044.1772365998</v>
      </c>
    </row>
    <row r="34" customFormat="false" ht="15" hidden="false" customHeight="true" outlineLevel="0" collapsed="false">
      <c r="A34" s="13" t="s">
        <v>45</v>
      </c>
      <c r="B34" s="14" t="n">
        <f aca="false">SUM(B8:B33)</f>
        <v>106000000</v>
      </c>
      <c r="C34" s="14" t="n">
        <f aca="false">SUM(C8:C33)</f>
        <v>106000000</v>
      </c>
      <c r="D34" s="14" t="n">
        <f aca="false">SUM(D8:D33)</f>
        <v>77219966</v>
      </c>
      <c r="E34" s="14" t="n">
        <f aca="false">SUM(E8:E33)</f>
        <v>183219966</v>
      </c>
      <c r="N34" s="14" t="n">
        <f aca="false">SUM(N8:N33)</f>
        <v>1352090.14780608</v>
      </c>
    </row>
    <row r="36" customFormat="false" ht="15" hidden="false" customHeight="true" outlineLevel="0" collapsed="false">
      <c r="A36" s="3" t="s">
        <v>46</v>
      </c>
    </row>
  </sheetData>
  <mergeCells count="1">
    <mergeCell ref="A5:B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3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7"/>
    <col collapsed="false" customWidth="true" hidden="false" outlineLevel="0" max="3" min="3" style="1" width="15"/>
    <col collapsed="false" customWidth="true" hidden="false" outlineLevel="0" max="4" min="4" style="1" width="11"/>
    <col collapsed="false" customWidth="true" hidden="false" outlineLevel="0" max="5" min="5" style="1" width="15"/>
    <col collapsed="false" customWidth="true" hidden="false" outlineLevel="0" max="6" min="6" style="1" width="10"/>
    <col collapsed="false" customWidth="true" hidden="false" outlineLevel="0" max="7" min="7" style="1" width="13"/>
    <col collapsed="false" customWidth="true" hidden="false" outlineLevel="0" max="8" min="8" style="1" width="10"/>
    <col collapsed="false" customWidth="true" hidden="false" outlineLevel="0" max="9" min="9" style="1" width="15"/>
  </cols>
  <sheetData>
    <row r="1" customFormat="false" ht="16.5" hidden="false" customHeight="true" outlineLevel="0" collapsed="false">
      <c r="A1" s="2" t="s">
        <v>47</v>
      </c>
    </row>
    <row r="2" customFormat="false" ht="15" hidden="false" customHeight="true" outlineLevel="0" collapsed="false">
      <c r="A2" s="3" t="s">
        <v>48</v>
      </c>
    </row>
    <row r="4" customFormat="false" ht="15" hidden="false" customHeight="true" outlineLevel="0" collapsed="false">
      <c r="A4" s="4" t="s">
        <v>49</v>
      </c>
    </row>
    <row r="5" customFormat="false" ht="15" hidden="false" customHeight="true" outlineLevel="0" collapsed="false">
      <c r="A5" s="5" t="s">
        <v>50</v>
      </c>
      <c r="B5" s="5"/>
      <c r="C5" s="15" t="n">
        <v>2038</v>
      </c>
    </row>
    <row r="6" customFormat="false" ht="15" hidden="false" customHeight="true" outlineLevel="0" collapsed="false">
      <c r="A6" s="5" t="s">
        <v>51</v>
      </c>
      <c r="B6" s="5"/>
      <c r="C6" s="6" t="n">
        <v>0.4</v>
      </c>
      <c r="D6" s="3" t="s">
        <v>52</v>
      </c>
    </row>
    <row r="8" customFormat="false" ht="24" hidden="false" customHeight="true" outlineLevel="0" collapsed="false">
      <c r="A8" s="7" t="s">
        <v>5</v>
      </c>
      <c r="B8" s="7" t="s">
        <v>9</v>
      </c>
      <c r="C8" s="7" t="s">
        <v>11</v>
      </c>
      <c r="D8" s="7" t="s">
        <v>53</v>
      </c>
      <c r="E8" s="7" t="s">
        <v>54</v>
      </c>
      <c r="F8" s="7" t="s">
        <v>12</v>
      </c>
      <c r="G8" s="7" t="s">
        <v>55</v>
      </c>
      <c r="H8" s="7" t="s">
        <v>56</v>
      </c>
      <c r="I8" s="7" t="s">
        <v>18</v>
      </c>
    </row>
    <row r="9" customFormat="false" ht="15" hidden="false" customHeight="true" outlineLevel="0" collapsed="false">
      <c r="A9" s="16" t="n">
        <v>2026</v>
      </c>
      <c r="B9" s="10" t="n">
        <f aca="false">'Bond Schedule (Base Case)'!E8</f>
        <v>0</v>
      </c>
      <c r="C9" s="10" t="n">
        <f aca="false">'Bond Schedule (Base Case)'!G8</f>
        <v>0</v>
      </c>
      <c r="D9" s="17" t="n">
        <f aca="false">IF(A9&gt;=$C$5,$C$6,0)</f>
        <v>0</v>
      </c>
      <c r="E9" s="10" t="n">
        <f aca="false">C9*(1-D9)</f>
        <v>0</v>
      </c>
      <c r="F9" s="18" t="n">
        <f aca="false">'Bond Schedule (Base Case)'!H8</f>
        <v>0</v>
      </c>
      <c r="G9" s="10" t="n">
        <f aca="false">E9*F9/1000</f>
        <v>0</v>
      </c>
      <c r="H9" s="12" t="str">
        <f aca="false">IF(B9=0,"-",G9/B9)</f>
        <v>-</v>
      </c>
      <c r="I9" s="10" t="n">
        <f aca="false">MAX(0,B9-G9)</f>
        <v>0</v>
      </c>
    </row>
    <row r="10" customFormat="false" ht="15" hidden="false" customHeight="true" outlineLevel="0" collapsed="false">
      <c r="A10" s="16" t="n">
        <v>2027</v>
      </c>
      <c r="B10" s="10" t="n">
        <f aca="false">'Bond Schedule (Base Case)'!E9</f>
        <v>0</v>
      </c>
      <c r="C10" s="10" t="n">
        <f aca="false">'Bond Schedule (Base Case)'!G9</f>
        <v>12684969</v>
      </c>
      <c r="D10" s="17" t="n">
        <f aca="false">IF(A10&gt;=$C$5,$C$6,0)</f>
        <v>0</v>
      </c>
      <c r="E10" s="10" t="n">
        <f aca="false">C10*(1-D10)</f>
        <v>12684969</v>
      </c>
      <c r="F10" s="18" t="n">
        <f aca="false">'Bond Schedule (Base Case)'!H9</f>
        <v>2.801883</v>
      </c>
      <c r="G10" s="10" t="n">
        <f aca="false">E10*F10/1000</f>
        <v>35541.798996627</v>
      </c>
      <c r="H10" s="12" t="str">
        <f aca="false">IF(B10=0,"-",G10/B10)</f>
        <v>-</v>
      </c>
      <c r="I10" s="10" t="n">
        <f aca="false">MAX(0,B10-G10)</f>
        <v>0</v>
      </c>
    </row>
    <row r="11" customFormat="false" ht="15" hidden="false" customHeight="true" outlineLevel="0" collapsed="false">
      <c r="A11" s="16" t="n">
        <v>2028</v>
      </c>
      <c r="B11" s="10" t="n">
        <f aca="false">'Bond Schedule (Base Case)'!E10</f>
        <v>0</v>
      </c>
      <c r="C11" s="10" t="n">
        <f aca="false">'Bond Schedule (Base Case)'!G10</f>
        <v>225514176</v>
      </c>
      <c r="D11" s="17" t="n">
        <f aca="false">IF(A11&gt;=$C$5,$C$6,0)</f>
        <v>0</v>
      </c>
      <c r="E11" s="10" t="n">
        <f aca="false">C11*(1-D11)</f>
        <v>225514176</v>
      </c>
      <c r="F11" s="18" t="n">
        <f aca="false">'Bond Schedule (Base Case)'!H10</f>
        <v>2.702946</v>
      </c>
      <c r="G11" s="10" t="n">
        <f aca="false">E11*F11/1000</f>
        <v>609552.639962496</v>
      </c>
      <c r="H11" s="12" t="str">
        <f aca="false">IF(B11=0,"-",G11/B11)</f>
        <v>-</v>
      </c>
      <c r="I11" s="10" t="n">
        <f aca="false">MAX(0,B11-G11)</f>
        <v>0</v>
      </c>
    </row>
    <row r="12" customFormat="false" ht="15" hidden="false" customHeight="true" outlineLevel="0" collapsed="false">
      <c r="A12" s="16" t="n">
        <v>2029</v>
      </c>
      <c r="B12" s="10" t="n">
        <f aca="false">'Bond Schedule (Base Case)'!E11</f>
        <v>0</v>
      </c>
      <c r="C12" s="10" t="n">
        <f aca="false">'Bond Schedule (Base Case)'!G11</f>
        <v>575401259</v>
      </c>
      <c r="D12" s="17" t="n">
        <f aca="false">IF(A12&gt;=$C$5,$C$6,0)</f>
        <v>0</v>
      </c>
      <c r="E12" s="10" t="n">
        <f aca="false">C12*(1-D12)</f>
        <v>575401259</v>
      </c>
      <c r="F12" s="18" t="n">
        <f aca="false">'Bond Schedule (Base Case)'!H11</f>
        <v>2.61309</v>
      </c>
      <c r="G12" s="10" t="n">
        <f aca="false">E12*F12/1000</f>
        <v>1503575.27588031</v>
      </c>
      <c r="H12" s="12" t="str">
        <f aca="false">IF(B12=0,"-",G12/B12)</f>
        <v>-</v>
      </c>
      <c r="I12" s="10" t="n">
        <f aca="false">MAX(0,B12-G12)</f>
        <v>0</v>
      </c>
    </row>
    <row r="13" customFormat="false" ht="15" hidden="false" customHeight="true" outlineLevel="0" collapsed="false">
      <c r="A13" s="16" t="n">
        <v>2030</v>
      </c>
      <c r="B13" s="10" t="n">
        <f aca="false">'Bond Schedule (Base Case)'!E12</f>
        <v>2417375</v>
      </c>
      <c r="C13" s="10" t="n">
        <f aca="false">'Bond Schedule (Base Case)'!G12</f>
        <v>972752562</v>
      </c>
      <c r="D13" s="17" t="n">
        <f aca="false">IF(A13&gt;=$C$5,$C$6,0)</f>
        <v>0</v>
      </c>
      <c r="E13" s="10" t="n">
        <f aca="false">C13*(1-D13)</f>
        <v>972752562</v>
      </c>
      <c r="F13" s="18" t="n">
        <f aca="false">'Bond Schedule (Base Case)'!H12</f>
        <v>2.530088</v>
      </c>
      <c r="G13" s="10" t="n">
        <f aca="false">E13*F13/1000</f>
        <v>2461149.58408546</v>
      </c>
      <c r="H13" s="12" t="n">
        <f aca="false">IF(B13=0,"-",G13/B13)</f>
        <v>1.01810831339178</v>
      </c>
      <c r="I13" s="10" t="n">
        <f aca="false">MAX(0,B13-G13)</f>
        <v>0</v>
      </c>
    </row>
    <row r="14" customFormat="false" ht="15" hidden="false" customHeight="true" outlineLevel="0" collapsed="false">
      <c r="A14" s="16" t="n">
        <v>2031</v>
      </c>
      <c r="B14" s="10" t="n">
        <f aca="false">'Bond Schedule (Base Case)'!E13</f>
        <v>2417375</v>
      </c>
      <c r="C14" s="10" t="n">
        <f aca="false">'Bond Schedule (Base Case)'!G13</f>
        <v>1390371695</v>
      </c>
      <c r="D14" s="17" t="n">
        <f aca="false">IF(A14&gt;=$C$5,$C$6,0)</f>
        <v>0</v>
      </c>
      <c r="E14" s="10" t="n">
        <f aca="false">C14*(1-D14)</f>
        <v>1390371695</v>
      </c>
      <c r="F14" s="18" t="n">
        <f aca="false">'Bond Schedule (Base Case)'!H13</f>
        <v>2.455658</v>
      </c>
      <c r="G14" s="10" t="n">
        <f aca="false">E14*F14/1000</f>
        <v>3414277.37580031</v>
      </c>
      <c r="H14" s="12" t="n">
        <f aca="false">IF(B14=0,"-",G14/B14)</f>
        <v>1.41239045485302</v>
      </c>
      <c r="I14" s="10" t="n">
        <f aca="false">MAX(0,B14-G14)</f>
        <v>0</v>
      </c>
    </row>
    <row r="15" customFormat="false" ht="15" hidden="false" customHeight="true" outlineLevel="0" collapsed="false">
      <c r="A15" s="16" t="n">
        <v>2032</v>
      </c>
      <c r="B15" s="10" t="n">
        <f aca="false">'Bond Schedule (Base Case)'!E14</f>
        <v>2537375</v>
      </c>
      <c r="C15" s="10" t="n">
        <f aca="false">'Bond Schedule (Base Case)'!G14</f>
        <v>1706108035</v>
      </c>
      <c r="D15" s="17" t="n">
        <f aca="false">IF(A15&gt;=$C$5,$C$6,0)</f>
        <v>0</v>
      </c>
      <c r="E15" s="10" t="n">
        <f aca="false">C15*(1-D15)</f>
        <v>1706108035</v>
      </c>
      <c r="F15" s="18" t="n">
        <f aca="false">'Bond Schedule (Base Case)'!H14</f>
        <v>2.388347</v>
      </c>
      <c r="G15" s="10" t="n">
        <f aca="false">E15*F15/1000</f>
        <v>4074778.00706814</v>
      </c>
      <c r="H15" s="12" t="n">
        <f aca="false">IF(B15=0,"-",G15/B15)</f>
        <v>1.60590295366989</v>
      </c>
      <c r="I15" s="10" t="n">
        <f aca="false">MAX(0,B15-G15)</f>
        <v>0</v>
      </c>
    </row>
    <row r="16" customFormat="false" ht="15" hidden="false" customHeight="true" outlineLevel="0" collapsed="false">
      <c r="A16" s="16" t="n">
        <v>2033</v>
      </c>
      <c r="B16" s="10" t="n">
        <f aca="false">'Bond Schedule (Base Case)'!E15</f>
        <v>4571050</v>
      </c>
      <c r="C16" s="10" t="n">
        <f aca="false">'Bond Schedule (Base Case)'!G15</f>
        <v>2038795926</v>
      </c>
      <c r="D16" s="17" t="n">
        <f aca="false">IF(A16&gt;=$C$5,$C$6,0)</f>
        <v>0</v>
      </c>
      <c r="E16" s="10" t="n">
        <f aca="false">C16*(1-D16)</f>
        <v>2038795926</v>
      </c>
      <c r="F16" s="18" t="n">
        <f aca="false">'Bond Schedule (Base Case)'!H15</f>
        <v>2.320451</v>
      </c>
      <c r="G16" s="10" t="n">
        <f aca="false">E16*F16/1000</f>
        <v>4730926.04528263</v>
      </c>
      <c r="H16" s="12" t="n">
        <f aca="false">IF(B16=0,"-",G16/B16)</f>
        <v>1.03497578133747</v>
      </c>
      <c r="I16" s="10" t="n">
        <f aca="false">MAX(0,B16-G16)</f>
        <v>0</v>
      </c>
    </row>
    <row r="17" customFormat="false" ht="15" hidden="false" customHeight="true" outlineLevel="0" collapsed="false">
      <c r="A17" s="16" t="n">
        <v>2034</v>
      </c>
      <c r="B17" s="10" t="n">
        <f aca="false">'Bond Schedule (Base Case)'!E16</f>
        <v>4763800</v>
      </c>
      <c r="C17" s="10" t="n">
        <f aca="false">'Bond Schedule (Base Case)'!G16</f>
        <v>2715522365</v>
      </c>
      <c r="D17" s="17" t="n">
        <f aca="false">IF(A17&gt;=$C$5,$C$6,0)</f>
        <v>0</v>
      </c>
      <c r="E17" s="10" t="n">
        <f aca="false">C17*(1-D17)</f>
        <v>2715522365</v>
      </c>
      <c r="F17" s="18" t="n">
        <f aca="false">'Bond Schedule (Base Case)'!H16</f>
        <v>2.210389</v>
      </c>
      <c r="G17" s="10" t="n">
        <f aca="false">E17*F17/1000</f>
        <v>6002360.76484999</v>
      </c>
      <c r="H17" s="12" t="n">
        <f aca="false">IF(B17=0,"-",G17/B17)</f>
        <v>1.25999428289391</v>
      </c>
      <c r="I17" s="10" t="n">
        <f aca="false">MAX(0,B17-G17)</f>
        <v>0</v>
      </c>
    </row>
    <row r="18" customFormat="false" ht="15" hidden="false" customHeight="true" outlineLevel="0" collapsed="false">
      <c r="A18" s="16" t="n">
        <v>2035</v>
      </c>
      <c r="B18" s="10" t="n">
        <f aca="false">'Bond Schedule (Base Case)'!E17</f>
        <v>4869800</v>
      </c>
      <c r="C18" s="10" t="n">
        <f aca="false">'Bond Schedule (Base Case)'!G17</f>
        <v>2832893456</v>
      </c>
      <c r="D18" s="17" t="n">
        <f aca="false">IF(A18&gt;=$C$5,$C$6,0)</f>
        <v>0</v>
      </c>
      <c r="E18" s="10" t="n">
        <f aca="false">C18*(1-D18)</f>
        <v>2832893456</v>
      </c>
      <c r="F18" s="18" t="n">
        <f aca="false">'Bond Schedule (Base Case)'!H17</f>
        <v>2.186519</v>
      </c>
      <c r="G18" s="10" t="n">
        <f aca="false">E18*F18/1000</f>
        <v>6194175.36651966</v>
      </c>
      <c r="H18" s="12" t="n">
        <f aca="false">IF(B18=0,"-",G18/B18)</f>
        <v>1.2719568291346</v>
      </c>
      <c r="I18" s="10" t="n">
        <f aca="false">MAX(0,B18-G18)</f>
        <v>0</v>
      </c>
    </row>
    <row r="19" customFormat="false" ht="15" hidden="false" customHeight="true" outlineLevel="0" collapsed="false">
      <c r="A19" s="16" t="n">
        <v>2036</v>
      </c>
      <c r="B19" s="10" t="n">
        <f aca="false">'Bond Schedule (Base Case)'!E18</f>
        <v>6409475</v>
      </c>
      <c r="C19" s="10" t="n">
        <f aca="false">'Bond Schedule (Base Case)'!G18</f>
        <v>3544497045</v>
      </c>
      <c r="D19" s="17" t="n">
        <f aca="false">IF(A19&gt;=$C$5,$C$6,0)</f>
        <v>0</v>
      </c>
      <c r="E19" s="10" t="n">
        <f aca="false">C19*(1-D19)</f>
        <v>3544497045</v>
      </c>
      <c r="F19" s="18" t="n">
        <f aca="false">'Bond Schedule (Base Case)'!H18</f>
        <v>2.088785</v>
      </c>
      <c r="G19" s="10" t="n">
        <f aca="false">E19*F19/1000</f>
        <v>7403692.26014033</v>
      </c>
      <c r="H19" s="12" t="n">
        <f aca="false">IF(B19=0,"-",G19/B19)</f>
        <v>1.15511680131997</v>
      </c>
      <c r="I19" s="10" t="n">
        <f aca="false">MAX(0,B19-G19)</f>
        <v>0</v>
      </c>
    </row>
    <row r="20" customFormat="false" ht="15" hidden="false" customHeight="true" outlineLevel="0" collapsed="false">
      <c r="A20" s="16" t="n">
        <v>2037</v>
      </c>
      <c r="B20" s="10" t="n">
        <f aca="false">'Bond Schedule (Base Case)'!E19</f>
        <v>6615975</v>
      </c>
      <c r="C20" s="10" t="n">
        <f aca="false">'Bond Schedule (Base Case)'!G19</f>
        <v>3701444057</v>
      </c>
      <c r="D20" s="17" t="n">
        <f aca="false">IF(A20&gt;=$C$5,$C$6,0)</f>
        <v>0</v>
      </c>
      <c r="E20" s="10" t="n">
        <f aca="false">C20*(1-D20)</f>
        <v>3701444057</v>
      </c>
      <c r="F20" s="18" t="n">
        <f aca="false">'Bond Schedule (Base Case)'!H19</f>
        <v>2.069257</v>
      </c>
      <c r="G20" s="10" t="n">
        <f aca="false">E20*F20/1000</f>
        <v>7659239.02505565</v>
      </c>
      <c r="H20" s="12" t="n">
        <f aca="false">IF(B20=0,"-",G20/B20)</f>
        <v>1.15768862866859</v>
      </c>
      <c r="I20" s="10" t="n">
        <f aca="false">MAX(0,B20-G20)</f>
        <v>0</v>
      </c>
    </row>
    <row r="21" customFormat="false" ht="15" hidden="false" customHeight="true" outlineLevel="0" collapsed="false">
      <c r="A21" s="16" t="n">
        <v>2038</v>
      </c>
      <c r="B21" s="10" t="n">
        <f aca="false">'Bond Schedule (Base Case)'!E20</f>
        <v>6827475</v>
      </c>
      <c r="C21" s="10" t="n">
        <f aca="false">'Bond Schedule (Base Case)'!G20</f>
        <v>4523485992</v>
      </c>
      <c r="D21" s="17" t="n">
        <f aca="false">IF(A21&gt;=$C$5,$C$6,0)</f>
        <v>0.4</v>
      </c>
      <c r="E21" s="10" t="n">
        <f aca="false">C21*(1-D21)</f>
        <v>2714091595.2</v>
      </c>
      <c r="F21" s="18" t="n">
        <f aca="false">'Bond Schedule (Base Case)'!H20</f>
        <v>1.979933</v>
      </c>
      <c r="G21" s="10" t="n">
        <f aca="false">E21*F21/1000</f>
        <v>5373719.51435912</v>
      </c>
      <c r="H21" s="12" t="n">
        <f aca="false">IF(B21=0,"-",G21/B21)</f>
        <v>0.787072748616307</v>
      </c>
      <c r="I21" s="10" t="n">
        <f aca="false">MAX(0,B21-G21)</f>
        <v>1453755.48564088</v>
      </c>
    </row>
    <row r="22" customFormat="false" ht="15" hidden="false" customHeight="true" outlineLevel="0" collapsed="false">
      <c r="A22" s="16" t="n">
        <v>2039</v>
      </c>
      <c r="B22" s="10" t="n">
        <f aca="false">'Bond Schedule (Base Case)'!E21</f>
        <v>9128963</v>
      </c>
      <c r="C22" s="10" t="n">
        <f aca="false">'Bond Schedule (Base Case)'!G21</f>
        <v>4727567921</v>
      </c>
      <c r="D22" s="17" t="n">
        <f aca="false">IF(A22&gt;=$C$5,$C$6,0)</f>
        <v>0.4</v>
      </c>
      <c r="E22" s="10" t="n">
        <f aca="false">C22*(1-D22)</f>
        <v>2836540752.6</v>
      </c>
      <c r="F22" s="18" t="n">
        <f aca="false">'Bond Schedule (Base Case)'!H21</f>
        <v>1.960286</v>
      </c>
      <c r="G22" s="10" t="n">
        <f aca="false">E22*F22/1000</f>
        <v>5560431.12575124</v>
      </c>
      <c r="H22" s="12" t="n">
        <f aca="false">IF(B22=0,"-",G22/B22)</f>
        <v>0.609097783149219</v>
      </c>
      <c r="I22" s="10" t="n">
        <f aca="false">MAX(0,B22-G22)</f>
        <v>3568531.87424876</v>
      </c>
    </row>
    <row r="23" customFormat="false" ht="15" hidden="false" customHeight="true" outlineLevel="0" collapsed="false">
      <c r="A23" s="16" t="n">
        <v>2040</v>
      </c>
      <c r="B23" s="10" t="n">
        <f aca="false">'Bond Schedule (Base Case)'!E22</f>
        <v>9408513</v>
      </c>
      <c r="C23" s="10" t="n">
        <f aca="false">'Bond Schedule (Base Case)'!G22</f>
        <v>5657944653</v>
      </c>
      <c r="D23" s="17" t="n">
        <f aca="false">IF(A23&gt;=$C$5,$C$6,0)</f>
        <v>0.4</v>
      </c>
      <c r="E23" s="10" t="n">
        <f aca="false">C23*(1-D23)</f>
        <v>3394766791.8</v>
      </c>
      <c r="F23" s="18" t="n">
        <f aca="false">'Bond Schedule (Base Case)'!H22</f>
        <v>1.877927</v>
      </c>
      <c r="G23" s="10" t="n">
        <f aca="false">E23*F23/1000</f>
        <v>6375124.2170246</v>
      </c>
      <c r="H23" s="12" t="n">
        <f aca="false">IF(B23=0,"-",G23/B23)</f>
        <v>0.677591051532224</v>
      </c>
      <c r="I23" s="10" t="n">
        <f aca="false">MAX(0,B23-G23)</f>
        <v>3033388.7829754</v>
      </c>
    </row>
    <row r="24" customFormat="false" ht="15" hidden="false" customHeight="true" outlineLevel="0" collapsed="false">
      <c r="A24" s="16" t="n">
        <v>2041</v>
      </c>
      <c r="B24" s="10" t="n">
        <f aca="false">'Bond Schedule (Base Case)'!E23</f>
        <v>9694100</v>
      </c>
      <c r="C24" s="10" t="n">
        <f aca="false">'Bond Schedule (Base Case)'!G23</f>
        <v>5913625960</v>
      </c>
      <c r="D24" s="17" t="n">
        <f aca="false">IF(A24&gt;=$C$5,$C$6,0)</f>
        <v>0.4</v>
      </c>
      <c r="E24" s="10" t="n">
        <f aca="false">C24*(1-D24)</f>
        <v>3548175576</v>
      </c>
      <c r="F24" s="18" t="n">
        <f aca="false">'Bond Schedule (Base Case)'!H23</f>
        <v>1.858324</v>
      </c>
      <c r="G24" s="10" t="n">
        <f aca="false">E24*F24/1000</f>
        <v>6593659.82909462</v>
      </c>
      <c r="H24" s="12" t="n">
        <f aca="false">IF(B24=0,"-",G24/B24)</f>
        <v>0.680172458412295</v>
      </c>
      <c r="I24" s="10" t="n">
        <f aca="false">MAX(0,B24-G24)</f>
        <v>3100440.17090538</v>
      </c>
    </row>
    <row r="25" customFormat="false" ht="15" hidden="false" customHeight="true" outlineLevel="0" collapsed="false">
      <c r="A25" s="16" t="n">
        <v>2042</v>
      </c>
      <c r="B25" s="10" t="n">
        <f aca="false">'Bond Schedule (Base Case)'!E24</f>
        <v>9980438</v>
      </c>
      <c r="C25" s="10" t="n">
        <f aca="false">'Bond Schedule (Base Case)'!G24</f>
        <v>6212476662</v>
      </c>
      <c r="D25" s="17" t="n">
        <f aca="false">IF(A25&gt;=$C$5,$C$6,0)</f>
        <v>0.4</v>
      </c>
      <c r="E25" s="10" t="n">
        <f aca="false">C25*(1-D25)</f>
        <v>3727485997.2</v>
      </c>
      <c r="F25" s="18" t="n">
        <f aca="false">'Bond Schedule (Base Case)'!H24</f>
        <v>1.813731</v>
      </c>
      <c r="G25" s="10" t="n">
        <f aca="false">E25*F25/1000</f>
        <v>6760656.90518755</v>
      </c>
      <c r="H25" s="12" t="n">
        <f aca="false">IF(B25=0,"-",G25/B25)</f>
        <v>0.677390802406423</v>
      </c>
      <c r="I25" s="10" t="n">
        <f aca="false">MAX(0,B25-G25)</f>
        <v>3219781.09481245</v>
      </c>
    </row>
    <row r="26" customFormat="false" ht="15" hidden="false" customHeight="true" outlineLevel="0" collapsed="false">
      <c r="A26" s="16" t="n">
        <v>2043</v>
      </c>
      <c r="B26" s="10" t="n">
        <f aca="false">'Bond Schedule (Base Case)'!E25</f>
        <v>10270638</v>
      </c>
      <c r="C26" s="10" t="n">
        <f aca="false">'Bond Schedule (Base Case)'!G25</f>
        <v>6527662280</v>
      </c>
      <c r="D26" s="17" t="n">
        <f aca="false">IF(A26&gt;=$C$5,$C$6,0)</f>
        <v>0.4</v>
      </c>
      <c r="E26" s="10" t="n">
        <f aca="false">C26*(1-D26)</f>
        <v>3916597368</v>
      </c>
      <c r="F26" s="18" t="n">
        <f aca="false">'Bond Schedule (Base Case)'!H25</f>
        <v>1.765911</v>
      </c>
      <c r="G26" s="10" t="n">
        <f aca="false">E26*F26/1000</f>
        <v>6916362.37472225</v>
      </c>
      <c r="H26" s="12" t="n">
        <f aca="false">IF(B26=0,"-",G26/B26)</f>
        <v>0.673411172190301</v>
      </c>
      <c r="I26" s="10" t="n">
        <f aca="false">MAX(0,B26-G26)</f>
        <v>3354275.62527775</v>
      </c>
    </row>
    <row r="27" customFormat="false" ht="15" hidden="false" customHeight="true" outlineLevel="0" collapsed="false">
      <c r="A27" s="16" t="n">
        <v>2044</v>
      </c>
      <c r="B27" s="10" t="n">
        <f aca="false">'Bond Schedule (Base Case)'!E26</f>
        <v>10575350</v>
      </c>
      <c r="C27" s="10" t="n">
        <f aca="false">'Bond Schedule (Base Case)'!G26</f>
        <v>6891710491</v>
      </c>
      <c r="D27" s="17" t="n">
        <f aca="false">IF(A27&gt;=$C$5,$C$6,0)</f>
        <v>0.4</v>
      </c>
      <c r="E27" s="10" t="n">
        <f aca="false">C27*(1-D27)</f>
        <v>4135026294.6</v>
      </c>
      <c r="F27" s="18" t="n">
        <f aca="false">'Bond Schedule (Base Case)'!H26</f>
        <v>1.718313</v>
      </c>
      <c r="G27" s="10" t="n">
        <f aca="false">E27*F27/1000</f>
        <v>7105269.43735301</v>
      </c>
      <c r="H27" s="12" t="n">
        <f aca="false">IF(B27=0,"-",G27/B27)</f>
        <v>0.671870854142228</v>
      </c>
      <c r="I27" s="10" t="n">
        <f aca="false">MAX(0,B27-G27)</f>
        <v>3470080.56264699</v>
      </c>
    </row>
    <row r="28" customFormat="false" ht="15" hidden="false" customHeight="true" outlineLevel="0" collapsed="false">
      <c r="A28" s="16" t="n">
        <v>2045</v>
      </c>
      <c r="B28" s="10" t="n">
        <f aca="false">'Bond Schedule (Base Case)'!E27</f>
        <v>10875350</v>
      </c>
      <c r="C28" s="10" t="n">
        <f aca="false">'Bond Schedule (Base Case)'!G27</f>
        <v>7275336255</v>
      </c>
      <c r="D28" s="17" t="n">
        <f aca="false">IF(A28&gt;=$C$5,$C$6,0)</f>
        <v>0.4</v>
      </c>
      <c r="E28" s="10" t="n">
        <f aca="false">C28*(1-D28)</f>
        <v>4365201753</v>
      </c>
      <c r="F28" s="18" t="n">
        <f aca="false">'Bond Schedule (Base Case)'!H27</f>
        <v>1.6715</v>
      </c>
      <c r="G28" s="10" t="n">
        <f aca="false">E28*F28/1000</f>
        <v>7296434.7301395</v>
      </c>
      <c r="H28" s="12" t="n">
        <f aca="false">IF(B28=0,"-",G28/B28)</f>
        <v>0.670914934244829</v>
      </c>
      <c r="I28" s="10" t="n">
        <f aca="false">MAX(0,B28-G28)</f>
        <v>3578915.2698605</v>
      </c>
    </row>
    <row r="29" customFormat="false" ht="15" hidden="false" customHeight="true" outlineLevel="0" collapsed="false">
      <c r="A29" s="16" t="n">
        <v>2046</v>
      </c>
      <c r="B29" s="10" t="n">
        <f aca="false">'Bond Schedule (Base Case)'!E28</f>
        <v>11186825</v>
      </c>
      <c r="C29" s="10" t="n">
        <f aca="false">'Bond Schedule (Base Case)'!G28</f>
        <v>7679570381</v>
      </c>
      <c r="D29" s="17" t="n">
        <f aca="false">IF(A29&gt;=$C$5,$C$6,0)</f>
        <v>0.4</v>
      </c>
      <c r="E29" s="10" t="n">
        <f aca="false">C29*(1-D29)</f>
        <v>4607742228.6</v>
      </c>
      <c r="F29" s="18" t="n">
        <f aca="false">'Bond Schedule (Base Case)'!H28</f>
        <v>1.62558</v>
      </c>
      <c r="G29" s="10" t="n">
        <f aca="false">E29*F29/1000</f>
        <v>7490253.61196759</v>
      </c>
      <c r="H29" s="12" t="n">
        <f aca="false">IF(B29=0,"-",G29/B29)</f>
        <v>0.669560273980114</v>
      </c>
      <c r="I29" s="10" t="n">
        <f aca="false">MAX(0,B29-G29)</f>
        <v>3696571.38803241</v>
      </c>
    </row>
    <row r="30" customFormat="false" ht="15" hidden="false" customHeight="true" outlineLevel="0" collapsed="false">
      <c r="A30" s="16" t="n">
        <v>2047</v>
      </c>
      <c r="B30" s="10" t="n">
        <f aca="false">'Bond Schedule (Base Case)'!E29</f>
        <v>11497388</v>
      </c>
      <c r="C30" s="10" t="n">
        <f aca="false">'Bond Schedule (Base Case)'!G29</f>
        <v>8105497087</v>
      </c>
      <c r="D30" s="17" t="n">
        <f aca="false">IF(A30&gt;=$C$5,$C$6,0)</f>
        <v>0.4</v>
      </c>
      <c r="E30" s="10" t="n">
        <f aca="false">C30*(1-D30)</f>
        <v>4863298252.2</v>
      </c>
      <c r="F30" s="18" t="n">
        <f aca="false">'Bond Schedule (Base Case)'!H29</f>
        <v>1.580546</v>
      </c>
      <c r="G30" s="10" t="n">
        <f aca="false">E30*F30/1000</f>
        <v>7686666.5993217</v>
      </c>
      <c r="H30" s="12" t="n">
        <f aca="false">IF(B30=0,"-",G30/B30)</f>
        <v>0.66855764103305</v>
      </c>
      <c r="I30" s="10" t="n">
        <f aca="false">MAX(0,B30-G30)</f>
        <v>3810721.4006783</v>
      </c>
    </row>
    <row r="31" customFormat="false" ht="15" hidden="false" customHeight="true" outlineLevel="0" collapsed="false">
      <c r="A31" s="16" t="n">
        <v>2048</v>
      </c>
      <c r="B31" s="10" t="n">
        <f aca="false">'Bond Schedule (Base Case)'!E30</f>
        <v>11803913</v>
      </c>
      <c r="C31" s="10" t="n">
        <f aca="false">'Bond Schedule (Base Case)'!G30</f>
        <v>8554256730</v>
      </c>
      <c r="D31" s="17" t="n">
        <f aca="false">IF(A31&gt;=$C$5,$C$6,0)</f>
        <v>0.4</v>
      </c>
      <c r="E31" s="10" t="n">
        <f aca="false">C31*(1-D31)</f>
        <v>5132554038</v>
      </c>
      <c r="F31" s="18" t="n">
        <f aca="false">'Bond Schedule (Base Case)'!H30</f>
        <v>1.536442</v>
      </c>
      <c r="G31" s="10" t="n">
        <f aca="false">E31*F31/1000</f>
        <v>7885871.5912528</v>
      </c>
      <c r="H31" s="12" t="n">
        <f aca="false">IF(B31=0,"-",G31/B31)</f>
        <v>0.668072662959545</v>
      </c>
      <c r="I31" s="10" t="n">
        <f aca="false">MAX(0,B31-G31)</f>
        <v>3918041.4087472</v>
      </c>
    </row>
    <row r="32" customFormat="false" ht="15" hidden="false" customHeight="true" outlineLevel="0" collapsed="false">
      <c r="A32" s="16" t="n">
        <v>2049</v>
      </c>
      <c r="B32" s="10" t="n">
        <f aca="false">'Bond Schedule (Base Case)'!E31</f>
        <v>12130113</v>
      </c>
      <c r="C32" s="10" t="n">
        <f aca="false">'Bond Schedule (Base Case)'!G31</f>
        <v>9027048679</v>
      </c>
      <c r="D32" s="17" t="n">
        <f aca="false">IF(A32&gt;=$C$5,$C$6,0)</f>
        <v>0.4</v>
      </c>
      <c r="E32" s="10" t="n">
        <f aca="false">C32*(1-D32)</f>
        <v>5416229207.4</v>
      </c>
      <c r="F32" s="18" t="n">
        <f aca="false">'Bond Schedule (Base Case)'!H31</f>
        <v>1.493278</v>
      </c>
      <c r="G32" s="10" t="n">
        <f aca="false">E32*F32/1000</f>
        <v>8087935.91836786</v>
      </c>
      <c r="H32" s="12" t="n">
        <f aca="false">IF(B32=0,"-",G32/B32)</f>
        <v>0.666765092655597</v>
      </c>
      <c r="I32" s="10" t="n">
        <f aca="false">MAX(0,B32-G32)</f>
        <v>4042177.08163214</v>
      </c>
    </row>
    <row r="33" customFormat="false" ht="15" hidden="false" customHeight="true" outlineLevel="0" collapsed="false">
      <c r="A33" s="16" t="n">
        <v>2050</v>
      </c>
      <c r="B33" s="10" t="n">
        <f aca="false">'Bond Schedule (Base Case)'!E32</f>
        <v>12456500</v>
      </c>
      <c r="C33" s="10" t="n">
        <f aca="false">'Bond Schedule (Base Case)'!G32</f>
        <v>9525134333</v>
      </c>
      <c r="D33" s="17" t="n">
        <f aca="false">IF(A33&gt;=$C$5,$C$6,0)</f>
        <v>0.4</v>
      </c>
      <c r="E33" s="10" t="n">
        <f aca="false">C33*(1-D33)</f>
        <v>5715080599.8</v>
      </c>
      <c r="F33" s="18" t="n">
        <f aca="false">'Bond Schedule (Base Case)'!H32</f>
        <v>1.451053</v>
      </c>
      <c r="G33" s="10" t="n">
        <f aca="false">E33*F33/1000</f>
        <v>8292884.84958159</v>
      </c>
      <c r="H33" s="12" t="n">
        <f aca="false">IF(B33=0,"-",G33/B33)</f>
        <v>0.66574758957826</v>
      </c>
      <c r="I33" s="10" t="n">
        <f aca="false">MAX(0,B33-G33)</f>
        <v>4163615.15041841</v>
      </c>
    </row>
    <row r="34" customFormat="false" ht="15" hidden="false" customHeight="true" outlineLevel="0" collapsed="false">
      <c r="A34" s="16" t="n">
        <v>2051</v>
      </c>
      <c r="B34" s="10" t="n">
        <f aca="false">'Bond Schedule (Base Case)'!E33</f>
        <v>12782175</v>
      </c>
      <c r="C34" s="10" t="n">
        <f aca="false">'Bond Schedule (Base Case)'!G33</f>
        <v>10049840283</v>
      </c>
      <c r="D34" s="17" t="n">
        <f aca="false">IF(A34&gt;=$C$5,$C$6,0)</f>
        <v>0.4</v>
      </c>
      <c r="E34" s="10" t="n">
        <f aca="false">C34*(1-D34)</f>
        <v>6029904169.8</v>
      </c>
      <c r="F34" s="18" t="n">
        <f aca="false">'Bond Schedule (Base Case)'!H33</f>
        <v>1.409766</v>
      </c>
      <c r="G34" s="10" t="n">
        <f aca="false">E34*F34/1000</f>
        <v>8500753.88184227</v>
      </c>
      <c r="H34" s="12" t="n">
        <f aca="false">IF(B34=0,"-",G34/B34)</f>
        <v>0.665047527658029</v>
      </c>
      <c r="I34" s="10" t="n">
        <f aca="false">MAX(0,B34-G34)</f>
        <v>4281421.11815773</v>
      </c>
    </row>
    <row r="35" customFormat="false" ht="15" hidden="false" customHeight="true" outlineLevel="0" collapsed="false">
      <c r="A35" s="13" t="s">
        <v>45</v>
      </c>
      <c r="B35" s="14" t="n">
        <f aca="false">SUM(B9:B34)</f>
        <v>183219966</v>
      </c>
      <c r="I35" s="14" t="n">
        <f aca="false">SUM(I9:I34)</f>
        <v>48691716.4140343</v>
      </c>
    </row>
    <row r="38" customFormat="false" ht="15" hidden="false" customHeight="true" outlineLevel="0" collapsed="false">
      <c r="A38" s="4" t="s">
        <v>57</v>
      </c>
    </row>
    <row r="39" customFormat="false" ht="24" hidden="false" customHeight="true" outlineLevel="0" collapsed="false">
      <c r="A39" s="19" t="s">
        <v>58</v>
      </c>
      <c r="B39" s="19" t="s">
        <v>59</v>
      </c>
      <c r="C39" s="19" t="s">
        <v>60</v>
      </c>
      <c r="D39" s="19"/>
      <c r="E39" s="19"/>
      <c r="F39" s="19"/>
    </row>
    <row r="40" customFormat="false" ht="21.75" hidden="false" customHeight="true" outlineLevel="0" collapsed="false">
      <c r="A40" s="20" t="s">
        <v>61</v>
      </c>
      <c r="B40" s="20" t="s">
        <v>62</v>
      </c>
      <c r="C40" s="20" t="s">
        <v>63</v>
      </c>
      <c r="D40" s="20"/>
      <c r="E40" s="20"/>
      <c r="F40" s="20"/>
    </row>
    <row r="41" customFormat="false" ht="15" hidden="false" customHeight="true" outlineLevel="0" collapsed="false">
      <c r="A41" s="20" t="s">
        <v>64</v>
      </c>
      <c r="B41" s="20" t="s">
        <v>65</v>
      </c>
      <c r="C41" s="20" t="s">
        <v>66</v>
      </c>
      <c r="D41" s="20"/>
      <c r="E41" s="20"/>
      <c r="F41" s="20"/>
    </row>
    <row r="42" customFormat="false" ht="15" hidden="false" customHeight="true" outlineLevel="0" collapsed="false">
      <c r="A42" s="20" t="s">
        <v>67</v>
      </c>
      <c r="B42" s="20" t="s">
        <v>68</v>
      </c>
      <c r="C42" s="20" t="s">
        <v>69</v>
      </c>
      <c r="D42" s="20"/>
      <c r="E42" s="20"/>
      <c r="F42" s="20"/>
    </row>
    <row r="43" customFormat="false" ht="24" hidden="false" customHeight="true" outlineLevel="0" collapsed="false">
      <c r="A43" s="21" t="s">
        <v>70</v>
      </c>
      <c r="B43" s="21" t="s">
        <v>71</v>
      </c>
      <c r="C43" s="21" t="s">
        <v>72</v>
      </c>
      <c r="D43" s="21"/>
      <c r="E43" s="21"/>
      <c r="F43" s="21"/>
    </row>
    <row r="44" customFormat="false" ht="15" hidden="false" customHeight="true" outlineLevel="0" collapsed="false">
      <c r="A44" s="20" t="s">
        <v>73</v>
      </c>
      <c r="B44" s="20" t="s">
        <v>74</v>
      </c>
      <c r="C44" s="20" t="s">
        <v>75</v>
      </c>
      <c r="D44" s="20"/>
      <c r="E44" s="20"/>
      <c r="F44" s="20"/>
    </row>
    <row r="46" customFormat="false" ht="15" hidden="false" customHeight="true" outlineLevel="0" collapsed="false">
      <c r="A46" s="3" t="s">
        <v>76</v>
      </c>
    </row>
    <row r="47" customFormat="false" ht="15" hidden="false" customHeight="true" outlineLevel="0" collapsed="false">
      <c r="A47" s="3" t="s">
        <v>77</v>
      </c>
    </row>
  </sheetData>
  <mergeCells count="8">
    <mergeCell ref="A5:B5"/>
    <mergeCell ref="A6:B6"/>
    <mergeCell ref="C39:F39"/>
    <mergeCell ref="C40:F40"/>
    <mergeCell ref="C41:F41"/>
    <mergeCell ref="C42:F42"/>
    <mergeCell ref="C43:F43"/>
    <mergeCell ref="C44:F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5.85"/>
    <col collapsed="false" customWidth="true" hidden="false" outlineLevel="0" max="3" min="3" style="1" width="15.29"/>
    <col collapsed="false" customWidth="true" hidden="false" outlineLevel="0" max="4" min="4" style="1" width="14.42"/>
    <col collapsed="false" customWidth="true" hidden="false" outlineLevel="0" max="5" min="5" style="1" width="14.71"/>
    <col collapsed="false" customWidth="true" hidden="false" outlineLevel="0" max="7" min="6" style="1" width="15"/>
    <col collapsed="false" customWidth="true" hidden="false" outlineLevel="0" max="8" min="8" style="1" width="10"/>
    <col collapsed="false" customWidth="true" hidden="false" outlineLevel="0" max="9" min="9" style="1" width="12"/>
    <col collapsed="false" customWidth="true" hidden="false" outlineLevel="0" max="10" min="10" style="1" width="9"/>
    <col collapsed="false" customWidth="true" hidden="false" outlineLevel="0" max="11" min="11" style="1" width="14"/>
    <col collapsed="false" customWidth="true" hidden="false" outlineLevel="0" max="12" min="12" style="1" width="13"/>
    <col collapsed="false" customWidth="true" hidden="false" outlineLevel="0" max="13" min="13" style="1" width="12"/>
    <col collapsed="false" customWidth="true" hidden="false" outlineLevel="0" max="14" min="14" style="1" width="15"/>
  </cols>
  <sheetData>
    <row r="1" customFormat="false" ht="16.5" hidden="false" customHeight="true" outlineLevel="0" collapsed="false">
      <c r="A1" s="2" t="s">
        <v>78</v>
      </c>
    </row>
    <row r="2" customFormat="false" ht="15" hidden="false" customHeight="true" outlineLevel="0" collapsed="false">
      <c r="A2" s="3" t="s">
        <v>79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5" t="s">
        <v>3</v>
      </c>
      <c r="B5" s="5"/>
      <c r="C5" s="6" t="n">
        <v>0.1</v>
      </c>
      <c r="D5" s="3" t="s">
        <v>4</v>
      </c>
    </row>
    <row r="7" customFormat="false" ht="36" hidden="false" customHeight="true" outlineLevel="0" collapsed="false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</row>
    <row r="8" customFormat="false" ht="15" hidden="false" customHeight="true" outlineLevel="0" collapsed="false">
      <c r="A8" s="8" t="s">
        <v>19</v>
      </c>
      <c r="B8" s="9" t="n">
        <v>39000000</v>
      </c>
      <c r="C8" s="9" t="n">
        <v>0</v>
      </c>
      <c r="D8" s="10" t="n">
        <f aca="false">E8-C8</f>
        <v>0</v>
      </c>
      <c r="E8" s="9" t="n">
        <v>0</v>
      </c>
      <c r="F8" s="10" t="n">
        <f aca="false">0+B8-C8</f>
        <v>39000000</v>
      </c>
      <c r="G8" s="9" t="n">
        <v>0</v>
      </c>
      <c r="H8" s="11" t="n">
        <v>0</v>
      </c>
      <c r="I8" s="10" t="n">
        <f aca="false">G8*H8/1000</f>
        <v>0</v>
      </c>
      <c r="J8" s="12" t="str">
        <f aca="false">IF(E8=0,"-",I8/E8)</f>
        <v>-</v>
      </c>
      <c r="K8" s="10" t="str">
        <f aca="false">IF(OR(E8=0,H8=0),"-",E8*1000/H8)</f>
        <v>-</v>
      </c>
      <c r="L8" s="10" t="str">
        <f aca="false">IF(E8=0,"-",G8-K8)</f>
        <v>-</v>
      </c>
      <c r="M8" s="10" t="n">
        <f aca="false">G8*(1-$C$5)*H8/1000</f>
        <v>0</v>
      </c>
      <c r="N8" s="10" t="n">
        <f aca="false">MAX(0,E8-M8)</f>
        <v>0</v>
      </c>
    </row>
    <row r="9" customFormat="false" ht="15" hidden="false" customHeight="true" outlineLevel="0" collapsed="false">
      <c r="A9" s="8" t="s">
        <v>20</v>
      </c>
      <c r="B9" s="9" t="n">
        <v>0</v>
      </c>
      <c r="C9" s="9" t="n">
        <v>0</v>
      </c>
      <c r="D9" s="10" t="n">
        <f aca="false">E9-C9</f>
        <v>0</v>
      </c>
      <c r="E9" s="9" t="n">
        <v>0</v>
      </c>
      <c r="F9" s="10" t="n">
        <f aca="false">F8+B9-C9</f>
        <v>39000000</v>
      </c>
      <c r="G9" s="9" t="n">
        <v>12684969</v>
      </c>
      <c r="H9" s="11" t="n">
        <v>2.801883</v>
      </c>
      <c r="I9" s="10" t="n">
        <f aca="false">G9*H9/1000</f>
        <v>35541.798996627</v>
      </c>
      <c r="J9" s="12" t="str">
        <f aca="false">IF(E9=0,"-",I9/E9)</f>
        <v>-</v>
      </c>
      <c r="K9" s="10" t="str">
        <f aca="false">IF(OR(E9=0,H9=0),"-",E9*1000/H9)</f>
        <v>-</v>
      </c>
      <c r="L9" s="10" t="str">
        <f aca="false">IF(E9=0,"-",G9-K9)</f>
        <v>-</v>
      </c>
      <c r="M9" s="10" t="n">
        <f aca="false">G9*(1-$C$5)*H9/1000</f>
        <v>31987.6190969643</v>
      </c>
      <c r="N9" s="10" t="n">
        <f aca="false">MAX(0,E9-M9)</f>
        <v>0</v>
      </c>
    </row>
    <row r="10" customFormat="false" ht="15" hidden="false" customHeight="true" outlineLevel="0" collapsed="false">
      <c r="A10" s="8" t="s">
        <v>21</v>
      </c>
      <c r="B10" s="9" t="n">
        <v>0</v>
      </c>
      <c r="C10" s="9" t="n">
        <v>0</v>
      </c>
      <c r="D10" s="10" t="n">
        <f aca="false">E10-C10</f>
        <v>0</v>
      </c>
      <c r="E10" s="9" t="n">
        <v>0</v>
      </c>
      <c r="F10" s="10" t="n">
        <f aca="false">F9+B10-C10</f>
        <v>39000000</v>
      </c>
      <c r="G10" s="9" t="n">
        <v>225514176</v>
      </c>
      <c r="H10" s="11" t="n">
        <v>2.702946</v>
      </c>
      <c r="I10" s="10" t="n">
        <f aca="false">G10*H10/1000</f>
        <v>609552.639962496</v>
      </c>
      <c r="J10" s="12" t="str">
        <f aca="false">IF(E10=0,"-",I10/E10)</f>
        <v>-</v>
      </c>
      <c r="K10" s="10" t="str">
        <f aca="false">IF(OR(E10=0,H10=0),"-",E10*1000/H10)</f>
        <v>-</v>
      </c>
      <c r="L10" s="10" t="str">
        <f aca="false">IF(E10=0,"-",G10-K10)</f>
        <v>-</v>
      </c>
      <c r="M10" s="10" t="n">
        <f aca="false">G10*(1-$C$5)*H10/1000</f>
        <v>548597.375966246</v>
      </c>
      <c r="N10" s="10" t="n">
        <f aca="false">MAX(0,E10-M10)</f>
        <v>0</v>
      </c>
    </row>
    <row r="11" customFormat="false" ht="15" hidden="false" customHeight="true" outlineLevel="0" collapsed="false">
      <c r="A11" s="8" t="s">
        <v>22</v>
      </c>
      <c r="B11" s="9" t="n">
        <v>25000000</v>
      </c>
      <c r="C11" s="9" t="n">
        <v>0</v>
      </c>
      <c r="D11" s="10" t="n">
        <f aca="false">E11-C11</f>
        <v>0</v>
      </c>
      <c r="E11" s="9" t="n">
        <v>0</v>
      </c>
      <c r="F11" s="10" t="n">
        <f aca="false">F10+B11-C11</f>
        <v>64000000</v>
      </c>
      <c r="G11" s="9" t="n">
        <v>575401259</v>
      </c>
      <c r="H11" s="11" t="n">
        <v>2.61309</v>
      </c>
      <c r="I11" s="10" t="n">
        <f aca="false">G11*H11/1000</f>
        <v>1503575.27588031</v>
      </c>
      <c r="J11" s="12" t="str">
        <f aca="false">IF(E11=0,"-",I11/E11)</f>
        <v>-</v>
      </c>
      <c r="K11" s="10" t="str">
        <f aca="false">IF(OR(E11=0,H11=0),"-",E11*1000/H11)</f>
        <v>-</v>
      </c>
      <c r="L11" s="10" t="str">
        <f aca="false">IF(E11=0,"-",G11-K11)</f>
        <v>-</v>
      </c>
      <c r="M11" s="10" t="n">
        <f aca="false">G11*(1-$C$5)*H11/1000</f>
        <v>1353217.74829228</v>
      </c>
      <c r="N11" s="10" t="n">
        <f aca="false">MAX(0,E11-M11)</f>
        <v>0</v>
      </c>
    </row>
    <row r="12" customFormat="false" ht="15" hidden="false" customHeight="true" outlineLevel="0" collapsed="false">
      <c r="A12" s="8" t="s">
        <v>23</v>
      </c>
      <c r="B12" s="9" t="n">
        <v>0</v>
      </c>
      <c r="C12" s="9" t="n">
        <v>0</v>
      </c>
      <c r="D12" s="10" t="n">
        <f aca="false">E12-C12</f>
        <v>2436638</v>
      </c>
      <c r="E12" s="9" t="n">
        <v>2436638</v>
      </c>
      <c r="F12" s="10" t="n">
        <f aca="false">F11+B12-C12</f>
        <v>64000000</v>
      </c>
      <c r="G12" s="9" t="n">
        <v>972752562</v>
      </c>
      <c r="H12" s="11" t="n">
        <v>2.530088</v>
      </c>
      <c r="I12" s="10" t="n">
        <f aca="false">G12*H12/1000</f>
        <v>2461149.58408546</v>
      </c>
      <c r="J12" s="12" t="n">
        <f aca="false">IF(E12=0,"-",I12/E12)</f>
        <v>1.01005959198102</v>
      </c>
      <c r="K12" s="10" t="n">
        <f aca="false">IF(OR(E12=0,H12=0),"-",E12*1000/H12)</f>
        <v>963064525.818865</v>
      </c>
      <c r="L12" s="10" t="n">
        <f aca="false">IF(E12=0,"-",G12-K12)</f>
        <v>9688036.1811353</v>
      </c>
      <c r="M12" s="10" t="n">
        <f aca="false">G12*(1-$C$5)*H12/1000</f>
        <v>2215034.62567691</v>
      </c>
      <c r="N12" s="10" t="n">
        <f aca="false">MAX(0,E12-M12)</f>
        <v>221603.374323089</v>
      </c>
    </row>
    <row r="13" customFormat="false" ht="15" hidden="false" customHeight="true" outlineLevel="0" collapsed="false">
      <c r="A13" s="8" t="s">
        <v>24</v>
      </c>
      <c r="B13" s="9" t="n">
        <v>0</v>
      </c>
      <c r="C13" s="9" t="n">
        <v>0</v>
      </c>
      <c r="D13" s="10" t="n">
        <f aca="false">E13-C13</f>
        <v>2436638</v>
      </c>
      <c r="E13" s="9" t="n">
        <v>2436638</v>
      </c>
      <c r="F13" s="10" t="n">
        <f aca="false">F12+B13-C13</f>
        <v>64000000</v>
      </c>
      <c r="G13" s="9" t="n">
        <v>1390371695</v>
      </c>
      <c r="H13" s="11" t="n">
        <v>2.455658</v>
      </c>
      <c r="I13" s="10" t="n">
        <f aca="false">G13*H13/1000</f>
        <v>3414277.37580031</v>
      </c>
      <c r="J13" s="12" t="n">
        <f aca="false">IF(E13=0,"-",I13/E13)</f>
        <v>1.40122471035924</v>
      </c>
      <c r="K13" s="10" t="n">
        <f aca="false">IF(OR(E13=0,H13=0),"-",E13*1000/H13)</f>
        <v>992254621.775508</v>
      </c>
      <c r="L13" s="10" t="n">
        <f aca="false">IF(E13=0,"-",G13-K13)</f>
        <v>398117073.224492</v>
      </c>
      <c r="M13" s="10" t="n">
        <f aca="false">G13*(1-$C$5)*H13/1000</f>
        <v>3072849.63822028</v>
      </c>
      <c r="N13" s="10" t="n">
        <f aca="false">MAX(0,E13-M13)</f>
        <v>0</v>
      </c>
    </row>
    <row r="14" customFormat="false" ht="15" hidden="false" customHeight="true" outlineLevel="0" collapsed="false">
      <c r="A14" s="8" t="s">
        <v>25</v>
      </c>
      <c r="B14" s="9" t="n">
        <v>0</v>
      </c>
      <c r="C14" s="9" t="n">
        <v>30000</v>
      </c>
      <c r="D14" s="10" t="n">
        <f aca="false">E14-C14</f>
        <v>2436638</v>
      </c>
      <c r="E14" s="9" t="n">
        <v>2466638</v>
      </c>
      <c r="F14" s="10" t="n">
        <f aca="false">F13+B14-C14</f>
        <v>63970000</v>
      </c>
      <c r="G14" s="9" t="n">
        <v>1706108035</v>
      </c>
      <c r="H14" s="11" t="n">
        <v>2.388347</v>
      </c>
      <c r="I14" s="10" t="n">
        <f aca="false">G14*H14/1000</f>
        <v>4074778.00706814</v>
      </c>
      <c r="J14" s="12" t="n">
        <f aca="false">IF(E14=0,"-",I14/E14)</f>
        <v>1.65195622830271</v>
      </c>
      <c r="K14" s="10" t="n">
        <f aca="false">IF(OR(E14=0,H14=0),"-",E14*1000/H14)</f>
        <v>1032780412.56149</v>
      </c>
      <c r="L14" s="10" t="n">
        <f aca="false">IF(E14=0,"-",G14-K14)</f>
        <v>673327622.438509</v>
      </c>
      <c r="M14" s="10" t="n">
        <f aca="false">G14*(1-$C$5)*H14/1000</f>
        <v>3667300.20636133</v>
      </c>
      <c r="N14" s="10" t="n">
        <f aca="false">MAX(0,E14-M14)</f>
        <v>0</v>
      </c>
    </row>
    <row r="15" customFormat="false" ht="15" hidden="false" customHeight="true" outlineLevel="0" collapsed="false">
      <c r="A15" s="8" t="s">
        <v>26</v>
      </c>
      <c r="B15" s="9" t="n">
        <v>0</v>
      </c>
      <c r="C15" s="9" t="n">
        <v>715000</v>
      </c>
      <c r="D15" s="10" t="n">
        <f aca="false">E15-C15</f>
        <v>3946850</v>
      </c>
      <c r="E15" s="9" t="n">
        <v>4661850</v>
      </c>
      <c r="F15" s="10" t="n">
        <f aca="false">F14+B15-C15</f>
        <v>63255000</v>
      </c>
      <c r="G15" s="9" t="n">
        <v>2038795926</v>
      </c>
      <c r="H15" s="11" t="n">
        <v>2.320451</v>
      </c>
      <c r="I15" s="10" t="n">
        <f aca="false">G15*H15/1000</f>
        <v>4730926.04528263</v>
      </c>
      <c r="J15" s="12" t="n">
        <f aca="false">IF(E15=0,"-",I15/E15)</f>
        <v>1.01481730327716</v>
      </c>
      <c r="K15" s="10" t="n">
        <f aca="false">IF(OR(E15=0,H15=0),"-",E15*1000/H15)</f>
        <v>2009027555.41918</v>
      </c>
      <c r="L15" s="10" t="n">
        <f aca="false">IF(E15=0,"-",G15-K15)</f>
        <v>29768370.5808163</v>
      </c>
      <c r="M15" s="10" t="n">
        <f aca="false">G15*(1-$C$5)*H15/1000</f>
        <v>4257833.44075436</v>
      </c>
      <c r="N15" s="10" t="n">
        <f aca="false">MAX(0,E15-M15)</f>
        <v>404016.559245637</v>
      </c>
    </row>
    <row r="16" customFormat="false" ht="15" hidden="false" customHeight="true" outlineLevel="0" collapsed="false">
      <c r="A16" s="8" t="s">
        <v>27</v>
      </c>
      <c r="B16" s="9" t="n">
        <v>0</v>
      </c>
      <c r="C16" s="9" t="n">
        <v>950000</v>
      </c>
      <c r="D16" s="10" t="n">
        <f aca="false">E16-C16</f>
        <v>3911100</v>
      </c>
      <c r="E16" s="9" t="n">
        <v>4861100</v>
      </c>
      <c r="F16" s="10" t="n">
        <f aca="false">F15+B16-C16</f>
        <v>62305000</v>
      </c>
      <c r="G16" s="9" t="n">
        <v>2190080098</v>
      </c>
      <c r="H16" s="11" t="n">
        <v>2.256464</v>
      </c>
      <c r="I16" s="10" t="n">
        <f aca="false">G16*H16/1000</f>
        <v>4941836.89825347</v>
      </c>
      <c r="J16" s="12" t="n">
        <f aca="false">IF(E16=0,"-",I16/E16)</f>
        <v>1.01660877131791</v>
      </c>
      <c r="K16" s="10" t="n">
        <f aca="false">IF(OR(E16=0,H16=0),"-",E16*1000/H16)</f>
        <v>2154299824.85872</v>
      </c>
      <c r="L16" s="10" t="n">
        <f aca="false">IF(E16=0,"-",G16-K16)</f>
        <v>35780273.141283</v>
      </c>
      <c r="M16" s="10" t="n">
        <f aca="false">G16*(1-$C$5)*H16/1000</f>
        <v>4447653.20842812</v>
      </c>
      <c r="N16" s="10" t="n">
        <f aca="false">MAX(0,E16-M16)</f>
        <v>413446.791571876</v>
      </c>
    </row>
    <row r="17" customFormat="false" ht="15" hidden="false" customHeight="true" outlineLevel="0" collapsed="false">
      <c r="A17" s="8" t="s">
        <v>28</v>
      </c>
      <c r="B17" s="9" t="n">
        <v>0</v>
      </c>
      <c r="C17" s="9" t="n">
        <v>1110000</v>
      </c>
      <c r="D17" s="10" t="n">
        <f aca="false">E17-C17</f>
        <v>3863600</v>
      </c>
      <c r="E17" s="9" t="n">
        <v>4973600</v>
      </c>
      <c r="F17" s="10" t="n">
        <f aca="false">F16+B17-C17</f>
        <v>61195000</v>
      </c>
      <c r="G17" s="9" t="n">
        <v>2307451189</v>
      </c>
      <c r="H17" s="11" t="n">
        <v>2.187878</v>
      </c>
      <c r="I17" s="10" t="n">
        <f aca="false">G17*H17/1000</f>
        <v>5048421.69248694</v>
      </c>
      <c r="J17" s="12" t="n">
        <f aca="false">IF(E17=0,"-",I17/E17)</f>
        <v>1.01504376960088</v>
      </c>
      <c r="K17" s="10" t="n">
        <f aca="false">IF(OR(E17=0,H17=0),"-",E17*1000/H17)</f>
        <v>2273252896.18525</v>
      </c>
      <c r="L17" s="10" t="n">
        <f aca="false">IF(E17=0,"-",G17-K17)</f>
        <v>34198292.8147464</v>
      </c>
      <c r="M17" s="10" t="n">
        <f aca="false">G17*(1-$C$5)*H17/1000</f>
        <v>4543579.52323825</v>
      </c>
      <c r="N17" s="10" t="n">
        <f aca="false">MAX(0,E17-M17)</f>
        <v>430020.476761752</v>
      </c>
    </row>
    <row r="18" customFormat="false" ht="15" hidden="false" customHeight="true" outlineLevel="0" collapsed="false">
      <c r="A18" s="8" t="s">
        <v>29</v>
      </c>
      <c r="B18" s="9" t="n">
        <v>0</v>
      </c>
      <c r="C18" s="9" t="n">
        <v>1295000</v>
      </c>
      <c r="D18" s="10" t="n">
        <f aca="false">E18-C18</f>
        <v>3806450</v>
      </c>
      <c r="E18" s="9" t="n">
        <v>5101450</v>
      </c>
      <c r="F18" s="10" t="n">
        <f aca="false">F17+B18-C18</f>
        <v>59900000</v>
      </c>
      <c r="G18" s="9" t="n">
        <v>2444159986</v>
      </c>
      <c r="H18" s="11" t="n">
        <v>2.125126</v>
      </c>
      <c r="I18" s="10" t="n">
        <f aca="false">G18*H18/1000</f>
        <v>5194147.93440824</v>
      </c>
      <c r="J18" s="12" t="n">
        <f aca="false">IF(E18=0,"-",I18/E18)</f>
        <v>1.01817089933416</v>
      </c>
      <c r="K18" s="10" t="n">
        <f aca="false">IF(OR(E18=0,H18=0),"-",E18*1000/H18)</f>
        <v>2400540015.03911</v>
      </c>
      <c r="L18" s="10" t="n">
        <f aca="false">IF(E18=0,"-",G18-K18)</f>
        <v>43619970.9608917</v>
      </c>
      <c r="M18" s="10" t="n">
        <f aca="false">G18*(1-$C$5)*H18/1000</f>
        <v>4674733.14096741</v>
      </c>
      <c r="N18" s="10" t="n">
        <f aca="false">MAX(0,E18-M18)</f>
        <v>426716.859032588</v>
      </c>
    </row>
    <row r="19" customFormat="false" ht="15" hidden="false" customHeight="true" outlineLevel="0" collapsed="false">
      <c r="A19" s="8" t="s">
        <v>30</v>
      </c>
      <c r="B19" s="9" t="n">
        <v>0</v>
      </c>
      <c r="C19" s="9" t="n">
        <v>1525000</v>
      </c>
      <c r="D19" s="10" t="n">
        <f aca="false">E19-C19</f>
        <v>3739763</v>
      </c>
      <c r="E19" s="9" t="n">
        <v>5264763</v>
      </c>
      <c r="F19" s="10" t="n">
        <f aca="false">F18+B19-C19</f>
        <v>58375000</v>
      </c>
      <c r="G19" s="9" t="n">
        <v>2601106998</v>
      </c>
      <c r="H19" s="11" t="n">
        <v>2.064242</v>
      </c>
      <c r="I19" s="10" t="n">
        <f aca="false">G19*H19/1000</f>
        <v>5369314.31176552</v>
      </c>
      <c r="J19" s="12" t="n">
        <f aca="false">IF(E19=0,"-",I19/E19)</f>
        <v>1.01985869292987</v>
      </c>
      <c r="K19" s="10" t="n">
        <f aca="false">IF(OR(E19=0,H19=0),"-",E19*1000/H19)</f>
        <v>2550458231.15701</v>
      </c>
      <c r="L19" s="10" t="n">
        <f aca="false">IF(E19=0,"-",G19-K19)</f>
        <v>50648766.8429942</v>
      </c>
      <c r="M19" s="10" t="n">
        <f aca="false">G19*(1-$C$5)*H19/1000</f>
        <v>4832382.88058897</v>
      </c>
      <c r="N19" s="10" t="n">
        <f aca="false">MAX(0,E19-M19)</f>
        <v>432380.119411035</v>
      </c>
    </row>
    <row r="20" customFormat="false" ht="15" hidden="false" customHeight="true" outlineLevel="0" collapsed="false">
      <c r="A20" s="8" t="s">
        <v>31</v>
      </c>
      <c r="B20" s="9" t="n">
        <v>0</v>
      </c>
      <c r="C20" s="9" t="n">
        <v>1775000</v>
      </c>
      <c r="D20" s="10" t="n">
        <f aca="false">E20-C20</f>
        <v>3658938</v>
      </c>
      <c r="E20" s="9" t="n">
        <v>5433938</v>
      </c>
      <c r="F20" s="10" t="n">
        <f aca="false">F19+B20-C20</f>
        <v>56600000</v>
      </c>
      <c r="G20" s="9" t="n">
        <v>2769976999</v>
      </c>
      <c r="H20" s="11" t="n">
        <v>2.004764</v>
      </c>
      <c r="I20" s="10" t="n">
        <f aca="false">G20*H20/1000</f>
        <v>5553150.16842324</v>
      </c>
      <c r="J20" s="12" t="n">
        <f aca="false">IF(E20=0,"-",I20/E20)</f>
        <v>1.02193844840026</v>
      </c>
      <c r="K20" s="10" t="n">
        <f aca="false">IF(OR(E20=0,H20=0),"-",E20*1000/H20)</f>
        <v>2710512559.08426</v>
      </c>
      <c r="L20" s="10" t="n">
        <f aca="false">IF(E20=0,"-",G20-K20)</f>
        <v>59464439.9157391</v>
      </c>
      <c r="M20" s="10" t="n">
        <f aca="false">G20*(1-$C$5)*H20/1000</f>
        <v>4997835.15158091</v>
      </c>
      <c r="N20" s="10" t="n">
        <f aca="false">MAX(0,E20-M20)</f>
        <v>436102.848419087</v>
      </c>
    </row>
    <row r="21" customFormat="false" ht="15" hidden="false" customHeight="true" outlineLevel="0" collapsed="false">
      <c r="A21" s="8" t="s">
        <v>32</v>
      </c>
      <c r="B21" s="9" t="n">
        <v>0</v>
      </c>
      <c r="C21" s="9" t="n">
        <v>2040000</v>
      </c>
      <c r="D21" s="10" t="n">
        <f aca="false">E21-C21</f>
        <v>3563075</v>
      </c>
      <c r="E21" s="9" t="n">
        <v>5603075</v>
      </c>
      <c r="F21" s="10" t="n">
        <f aca="false">F20+B21-C21</f>
        <v>54560000</v>
      </c>
      <c r="G21" s="9" t="n">
        <v>2948776748</v>
      </c>
      <c r="H21" s="11" t="n">
        <v>1.946688</v>
      </c>
      <c r="I21" s="10" t="n">
        <f aca="false">G21*H21/1000</f>
        <v>5740348.31001062</v>
      </c>
      <c r="J21" s="12" t="n">
        <f aca="false">IF(E21=0,"-",I21/E21)</f>
        <v>1.02449963814702</v>
      </c>
      <c r="K21" s="10" t="n">
        <f aca="false">IF(OR(E21=0,H21=0),"-",E21*1000/H21)</f>
        <v>2878260409.47496</v>
      </c>
      <c r="L21" s="10" t="n">
        <f aca="false">IF(E21=0,"-",G21-K21)</f>
        <v>70516338.5250354</v>
      </c>
      <c r="M21" s="10" t="n">
        <f aca="false">G21*(1-$C$5)*H21/1000</f>
        <v>5166313.47900956</v>
      </c>
      <c r="N21" s="10" t="n">
        <f aca="false">MAX(0,E21-M21)</f>
        <v>436761.520990438</v>
      </c>
    </row>
    <row r="22" customFormat="false" ht="15" hidden="false" customHeight="true" outlineLevel="0" collapsed="false">
      <c r="A22" s="8" t="s">
        <v>33</v>
      </c>
      <c r="B22" s="9" t="n">
        <v>0</v>
      </c>
      <c r="C22" s="9" t="n">
        <v>2330000</v>
      </c>
      <c r="D22" s="10" t="n">
        <f aca="false">E22-C22</f>
        <v>3449825</v>
      </c>
      <c r="E22" s="9" t="n">
        <v>5779825</v>
      </c>
      <c r="F22" s="10" t="n">
        <f aca="false">F21+B22-C22</f>
        <v>52230000</v>
      </c>
      <c r="G22" s="9" t="n">
        <v>3138062455</v>
      </c>
      <c r="H22" s="11" t="n">
        <v>1.890001</v>
      </c>
      <c r="I22" s="10" t="n">
        <f aca="false">G22*H22/1000</f>
        <v>5930941.17801246</v>
      </c>
      <c r="J22" s="12" t="n">
        <f aca="false">IF(E22=0,"-",I22/E22)</f>
        <v>1.02614545907747</v>
      </c>
      <c r="K22" s="10" t="n">
        <f aca="false">IF(OR(E22=0,H22=0),"-",E22*1000/H22)</f>
        <v>3058106847.56251</v>
      </c>
      <c r="L22" s="10" t="n">
        <f aca="false">IF(E22=0,"-",G22-K22)</f>
        <v>79955607.4374857</v>
      </c>
      <c r="M22" s="10" t="n">
        <f aca="false">G22*(1-$C$5)*H22/1000</f>
        <v>5337847.06021121</v>
      </c>
      <c r="N22" s="10" t="n">
        <f aca="false">MAX(0,E22-M22)</f>
        <v>441977.93978879</v>
      </c>
    </row>
    <row r="23" customFormat="false" ht="15" hidden="false" customHeight="true" outlineLevel="0" collapsed="false">
      <c r="A23" s="8" t="s">
        <v>34</v>
      </c>
      <c r="B23" s="9" t="n">
        <v>0</v>
      </c>
      <c r="C23" s="9" t="n">
        <v>2630000</v>
      </c>
      <c r="D23" s="10" t="n">
        <f aca="false">E23-C23</f>
        <v>3318150</v>
      </c>
      <c r="E23" s="9" t="n">
        <v>5948150</v>
      </c>
      <c r="F23" s="10" t="n">
        <f aca="false">F22+B23-C23</f>
        <v>49600000</v>
      </c>
      <c r="G23" s="9" t="n">
        <v>3338420486</v>
      </c>
      <c r="H23" s="11" t="n">
        <v>1.834691</v>
      </c>
      <c r="I23" s="10" t="n">
        <f aca="false">G23*H23/1000</f>
        <v>6124970.01987983</v>
      </c>
      <c r="J23" s="12" t="n">
        <f aca="false">IF(E23=0,"-",I23/E23)</f>
        <v>1.02972689321551</v>
      </c>
      <c r="K23" s="10" t="n">
        <f aca="false">IF(OR(E23=0,H23=0),"-",E23*1000/H23)</f>
        <v>3242044573.17336</v>
      </c>
      <c r="L23" s="10" t="n">
        <f aca="false">IF(E23=0,"-",G23-K23)</f>
        <v>96375912.826643</v>
      </c>
      <c r="M23" s="10" t="n">
        <f aca="false">G23*(1-$C$5)*H23/1000</f>
        <v>5512473.01789184</v>
      </c>
      <c r="N23" s="10" t="n">
        <f aca="false">MAX(0,E23-M23)</f>
        <v>435676.982108156</v>
      </c>
    </row>
    <row r="24" customFormat="false" ht="15" hidden="false" customHeight="true" outlineLevel="0" collapsed="false">
      <c r="A24" s="8" t="s">
        <v>35</v>
      </c>
      <c r="B24" s="9" t="n">
        <v>0</v>
      </c>
      <c r="C24" s="9" t="n">
        <v>2970000</v>
      </c>
      <c r="D24" s="10" t="n">
        <f aca="false">E24-C24</f>
        <v>3161538</v>
      </c>
      <c r="E24" s="9" t="n">
        <v>6131538</v>
      </c>
      <c r="F24" s="10" t="n">
        <f aca="false">F23+B24-C24</f>
        <v>46630000</v>
      </c>
      <c r="G24" s="9" t="n">
        <v>3550468968</v>
      </c>
      <c r="H24" s="11" t="n">
        <v>1.780744</v>
      </c>
      <c r="I24" s="10" t="n">
        <f aca="false">G24*H24/1000</f>
        <v>6322476.31195219</v>
      </c>
      <c r="J24" s="12" t="n">
        <f aca="false">IF(E24=0,"-",I24/E24)</f>
        <v>1.03114036183943</v>
      </c>
      <c r="K24" s="10" t="n">
        <f aca="false">IF(OR(E24=0,H24=0),"-",E24*1000/H24)</f>
        <v>3443245070.5997</v>
      </c>
      <c r="L24" s="10" t="n">
        <f aca="false">IF(E24=0,"-",G24-K24)</f>
        <v>107223897.400296</v>
      </c>
      <c r="M24" s="10" t="n">
        <f aca="false">G24*(1-$C$5)*H24/1000</f>
        <v>5690228.68075697</v>
      </c>
      <c r="N24" s="10" t="n">
        <f aca="false">MAX(0,E24-M24)</f>
        <v>441309.319243027</v>
      </c>
    </row>
    <row r="25" customFormat="false" ht="15" hidden="false" customHeight="true" outlineLevel="0" collapsed="false">
      <c r="A25" s="8" t="s">
        <v>36</v>
      </c>
      <c r="B25" s="9" t="n">
        <v>0</v>
      </c>
      <c r="C25" s="9" t="n">
        <v>3330000</v>
      </c>
      <c r="D25" s="10" t="n">
        <f aca="false">E25-C25</f>
        <v>2981738</v>
      </c>
      <c r="E25" s="9" t="n">
        <v>6311738</v>
      </c>
      <c r="F25" s="10" t="n">
        <f aca="false">F24+B25-C25</f>
        <v>43300000</v>
      </c>
      <c r="G25" s="9" t="n">
        <v>3774859466</v>
      </c>
      <c r="H25" s="11" t="n">
        <v>1.728145</v>
      </c>
      <c r="I25" s="10" t="n">
        <f aca="false">G25*H25/1000</f>
        <v>6523504.51187057</v>
      </c>
      <c r="J25" s="12" t="n">
        <f aca="false">IF(E25=0,"-",I25/E25)</f>
        <v>1.03355122026145</v>
      </c>
      <c r="K25" s="10" t="n">
        <f aca="false">IF(OR(E25=0,H25=0),"-",E25*1000/H25)</f>
        <v>3652319683.82283</v>
      </c>
      <c r="L25" s="10" t="n">
        <f aca="false">IF(E25=0,"-",G25-K25)</f>
        <v>122539782.177173</v>
      </c>
      <c r="M25" s="10" t="n">
        <f aca="false">G25*(1-$C$5)*H25/1000</f>
        <v>5871154.06068351</v>
      </c>
      <c r="N25" s="10" t="n">
        <f aca="false">MAX(0,E25-M25)</f>
        <v>440583.939316486</v>
      </c>
    </row>
    <row r="26" customFormat="false" ht="15" hidden="false" customHeight="true" outlineLevel="0" collapsed="false">
      <c r="A26" s="8" t="s">
        <v>37</v>
      </c>
      <c r="B26" s="9" t="n">
        <v>0</v>
      </c>
      <c r="C26" s="9" t="n">
        <v>3710000</v>
      </c>
      <c r="D26" s="10" t="n">
        <f aca="false">E26-C26</f>
        <v>2780113</v>
      </c>
      <c r="E26" s="9" t="n">
        <v>6490113</v>
      </c>
      <c r="F26" s="10" t="n">
        <f aca="false">F25+B26-C26</f>
        <v>39590000</v>
      </c>
      <c r="G26" s="9" t="n">
        <v>4012278747</v>
      </c>
      <c r="H26" s="11" t="n">
        <v>1.676876</v>
      </c>
      <c r="I26" s="10" t="n">
        <f aca="false">G26*H26/1000</f>
        <v>6728093.93615437</v>
      </c>
      <c r="J26" s="12" t="n">
        <f aca="false">IF(E26=0,"-",I26/E26)</f>
        <v>1.03666822690982</v>
      </c>
      <c r="K26" s="10" t="n">
        <f aca="false">IF(OR(E26=0,H26=0),"-",E26*1000/H26)</f>
        <v>3870359525.68944</v>
      </c>
      <c r="L26" s="10" t="n">
        <f aca="false">IF(E26=0,"-",G26-K26)</f>
        <v>141919221.310563</v>
      </c>
      <c r="M26" s="10" t="n">
        <f aca="false">G26*(1-$C$5)*H26/1000</f>
        <v>6055284.54253894</v>
      </c>
      <c r="N26" s="10" t="n">
        <f aca="false">MAX(0,E26-M26)</f>
        <v>434828.457461065</v>
      </c>
    </row>
    <row r="27" customFormat="false" ht="15" hidden="false" customHeight="true" outlineLevel="0" collapsed="false">
      <c r="A27" s="8" t="s">
        <v>38</v>
      </c>
      <c r="B27" s="9" t="n">
        <v>0</v>
      </c>
      <c r="C27" s="9" t="n">
        <v>4135000</v>
      </c>
      <c r="D27" s="10" t="n">
        <f aca="false">E27-C27</f>
        <v>2548238</v>
      </c>
      <c r="E27" s="9" t="n">
        <v>6683238</v>
      </c>
      <c r="F27" s="10" t="n">
        <f aca="false">F26+B27-C27</f>
        <v>35455000</v>
      </c>
      <c r="G27" s="9" t="n">
        <v>4263450650</v>
      </c>
      <c r="H27" s="11" t="n">
        <v>1.626921</v>
      </c>
      <c r="I27" s="10" t="n">
        <f aca="false">G27*H27/1000</f>
        <v>6936297.39494865</v>
      </c>
      <c r="J27" s="12" t="n">
        <f aca="false">IF(E27=0,"-",I27/E27)</f>
        <v>1.03786478873693</v>
      </c>
      <c r="K27" s="10" t="n">
        <f aca="false">IF(OR(E27=0,H27=0),"-",E27*1000/H27)</f>
        <v>4107905669.66681</v>
      </c>
      <c r="L27" s="10" t="n">
        <f aca="false">IF(E27=0,"-",G27-K27)</f>
        <v>155544980.333188</v>
      </c>
      <c r="M27" s="10" t="n">
        <f aca="false">G27*(1-$C$5)*H27/1000</f>
        <v>6242667.65545379</v>
      </c>
      <c r="N27" s="10" t="n">
        <f aca="false">MAX(0,E27-M27)</f>
        <v>440570.344546215</v>
      </c>
    </row>
    <row r="28" customFormat="false" ht="15" hidden="false" customHeight="true" outlineLevel="0" collapsed="false">
      <c r="A28" s="8" t="s">
        <v>39</v>
      </c>
      <c r="B28" s="9" t="n">
        <v>0</v>
      </c>
      <c r="C28" s="9" t="n">
        <v>4575000</v>
      </c>
      <c r="D28" s="10" t="n">
        <f aca="false">E28-C28</f>
        <v>2289800</v>
      </c>
      <c r="E28" s="9" t="n">
        <v>6864800</v>
      </c>
      <c r="F28" s="10" t="n">
        <f aca="false">F27+B28-C28</f>
        <v>30880000</v>
      </c>
      <c r="G28" s="9" t="n">
        <v>4529138039</v>
      </c>
      <c r="H28" s="11" t="n">
        <v>1.578259</v>
      </c>
      <c r="I28" s="10" t="n">
        <f aca="false">G28*H28/1000</f>
        <v>7148152.8722941</v>
      </c>
      <c r="J28" s="12" t="n">
        <f aca="false">IF(E28=0,"-",I28/E28)</f>
        <v>1.04127620211719</v>
      </c>
      <c r="K28" s="10" t="n">
        <f aca="false">IF(OR(E28=0,H28=0),"-",E28*1000/H28)</f>
        <v>4349602948.56548</v>
      </c>
      <c r="L28" s="10" t="n">
        <f aca="false">IF(E28=0,"-",G28-K28)</f>
        <v>179535090.434524</v>
      </c>
      <c r="M28" s="10" t="n">
        <f aca="false">G28*(1-$C$5)*H28/1000</f>
        <v>6433337.58506469</v>
      </c>
      <c r="N28" s="10" t="n">
        <f aca="false">MAX(0,E28-M28)</f>
        <v>431462.414935309</v>
      </c>
    </row>
    <row r="29" customFormat="false" ht="15" hidden="false" customHeight="true" outlineLevel="0" collapsed="false">
      <c r="A29" s="8" t="s">
        <v>40</v>
      </c>
      <c r="B29" s="9" t="n">
        <v>0</v>
      </c>
      <c r="C29" s="9" t="n">
        <v>5060000</v>
      </c>
      <c r="D29" s="10" t="n">
        <f aca="false">E29-C29</f>
        <v>1996875</v>
      </c>
      <c r="E29" s="9" t="n">
        <v>7056875</v>
      </c>
      <c r="F29" s="10" t="n">
        <f aca="false">F28+B29-C29</f>
        <v>25820000</v>
      </c>
      <c r="G29" s="9" t="n">
        <v>4810144857</v>
      </c>
      <c r="H29" s="11" t="n">
        <v>1.530833</v>
      </c>
      <c r="I29" s="10" t="n">
        <f aca="false">G29*H29/1000</f>
        <v>7363528.48187588</v>
      </c>
      <c r="J29" s="12" t="n">
        <f aca="false">IF(E29=0,"-",I29/E29)</f>
        <v>1.04345457187153</v>
      </c>
      <c r="K29" s="10" t="n">
        <f aca="false">IF(OR(E29=0,H29=0),"-",E29*1000/H29)</f>
        <v>4609826806.71242</v>
      </c>
      <c r="L29" s="10" t="n">
        <f aca="false">IF(E29=0,"-",G29-K29)</f>
        <v>200318050.287577</v>
      </c>
      <c r="M29" s="10" t="n">
        <f aca="false">G29*(1-$C$5)*H29/1000</f>
        <v>6627175.63368829</v>
      </c>
      <c r="N29" s="10" t="n">
        <f aca="false">MAX(0,E29-M29)</f>
        <v>429699.366311707</v>
      </c>
    </row>
    <row r="30" customFormat="false" ht="15" hidden="false" customHeight="true" outlineLevel="0" collapsed="false">
      <c r="A30" s="8" t="s">
        <v>41</v>
      </c>
      <c r="B30" s="9" t="n">
        <v>0</v>
      </c>
      <c r="C30" s="9" t="n">
        <v>5580000</v>
      </c>
      <c r="D30" s="10" t="n">
        <f aca="false">E30-C30</f>
        <v>1672888</v>
      </c>
      <c r="E30" s="9" t="n">
        <v>7252888</v>
      </c>
      <c r="F30" s="10" t="n">
        <f aca="false">F29+B30-C30</f>
        <v>20240000</v>
      </c>
      <c r="G30" s="9" t="n">
        <v>5107318298</v>
      </c>
      <c r="H30" s="11" t="n">
        <v>1.484664</v>
      </c>
      <c r="I30" s="10" t="n">
        <f aca="false">G30*H30/1000</f>
        <v>7582651.61358187</v>
      </c>
      <c r="J30" s="12" t="n">
        <f aca="false">IF(E30=0,"-",I30/E30)</f>
        <v>1.04546652500106</v>
      </c>
      <c r="K30" s="10" t="n">
        <f aca="false">IF(OR(E30=0,H30=0),"-",E30*1000/H30)</f>
        <v>4885205002.61339</v>
      </c>
      <c r="L30" s="10" t="n">
        <f aca="false">IF(E30=0,"-",G30-K30)</f>
        <v>222113295.386614</v>
      </c>
      <c r="M30" s="10" t="n">
        <f aca="false">G30*(1-$C$5)*H30/1000</f>
        <v>6824386.45222369</v>
      </c>
      <c r="N30" s="10" t="n">
        <f aca="false">MAX(0,E30-M30)</f>
        <v>428501.547776315</v>
      </c>
    </row>
    <row r="31" customFormat="false" ht="15" hidden="false" customHeight="true" outlineLevel="0" collapsed="false">
      <c r="A31" s="8" t="s">
        <v>42</v>
      </c>
      <c r="B31" s="9" t="n">
        <v>0</v>
      </c>
      <c r="C31" s="9" t="n">
        <v>6135000</v>
      </c>
      <c r="D31" s="10" t="n">
        <f aca="false">E31-C31</f>
        <v>1315600</v>
      </c>
      <c r="E31" s="9" t="n">
        <v>7450600</v>
      </c>
      <c r="F31" s="10" t="n">
        <f aca="false">F30+B31-C31</f>
        <v>14105000</v>
      </c>
      <c r="G31" s="9" t="n">
        <v>5421551079</v>
      </c>
      <c r="H31" s="11" t="n">
        <v>1.439735</v>
      </c>
      <c r="I31" s="10" t="n">
        <f aca="false">G31*H31/1000</f>
        <v>7805596.84272406</v>
      </c>
      <c r="J31" s="12" t="n">
        <f aca="false">IF(E31=0,"-",I31/E31)</f>
        <v>1.04764674559419</v>
      </c>
      <c r="K31" s="10" t="n">
        <f aca="false">IF(OR(E31=0,H31=0),"-",E31*1000/H31)</f>
        <v>5174980117.86891</v>
      </c>
      <c r="L31" s="10" t="n">
        <f aca="false">IF(E31=0,"-",G31-K31)</f>
        <v>246570961.131086</v>
      </c>
      <c r="M31" s="10" t="n">
        <f aca="false">G31*(1-$C$5)*H31/1000</f>
        <v>7025037.15845166</v>
      </c>
      <c r="N31" s="10" t="n">
        <f aca="false">MAX(0,E31-M31)</f>
        <v>425562.84154834</v>
      </c>
    </row>
    <row r="32" customFormat="false" ht="15" hidden="false" customHeight="true" outlineLevel="0" collapsed="false">
      <c r="A32" s="8" t="s">
        <v>43</v>
      </c>
      <c r="B32" s="9" t="n">
        <v>0</v>
      </c>
      <c r="C32" s="9" t="n">
        <v>6735000</v>
      </c>
      <c r="D32" s="10" t="n">
        <f aca="false">E32-C32</f>
        <v>916825</v>
      </c>
      <c r="E32" s="9" t="n">
        <v>7651825</v>
      </c>
      <c r="F32" s="10" t="n">
        <f aca="false">F31+B32-C32</f>
        <v>7370000</v>
      </c>
      <c r="G32" s="9" t="n">
        <v>5753783843</v>
      </c>
      <c r="H32" s="11" t="n">
        <v>1.396023</v>
      </c>
      <c r="I32" s="10" t="n">
        <f aca="false">G32*H32/1000</f>
        <v>8032414.58185639</v>
      </c>
      <c r="J32" s="12" t="n">
        <f aca="false">IF(E32=0,"-",I32/E32)</f>
        <v>1.04973840643982</v>
      </c>
      <c r="K32" s="10" t="n">
        <f aca="false">IF(OR(E32=0,H32=0),"-",E32*1000/H32)</f>
        <v>5481159694.36034</v>
      </c>
      <c r="L32" s="10" t="n">
        <f aca="false">IF(E32=0,"-",G32-K32)</f>
        <v>272624148.639664</v>
      </c>
      <c r="M32" s="10" t="n">
        <f aca="false">G32*(1-$C$5)*H32/1000</f>
        <v>7229173.12367075</v>
      </c>
      <c r="N32" s="10" t="n">
        <f aca="false">MAX(0,E32-M32)</f>
        <v>422651.876329251</v>
      </c>
    </row>
    <row r="33" customFormat="false" ht="15" hidden="false" customHeight="true" outlineLevel="0" collapsed="false">
      <c r="A33" s="8" t="s">
        <v>44</v>
      </c>
      <c r="B33" s="9" t="n">
        <v>0</v>
      </c>
      <c r="C33" s="9" t="n">
        <v>7370000</v>
      </c>
      <c r="D33" s="10" t="n">
        <f aca="false">E33-C33</f>
        <v>479050</v>
      </c>
      <c r="E33" s="9" t="n">
        <v>7849050</v>
      </c>
      <c r="F33" s="10" t="n">
        <f aca="false">F32+B33-C33</f>
        <v>0</v>
      </c>
      <c r="G33" s="9" t="n">
        <v>6105007671</v>
      </c>
      <c r="H33" s="11" t="n">
        <v>1.353506</v>
      </c>
      <c r="I33" s="10" t="n">
        <f aca="false">G33*H33/1000</f>
        <v>8263164.51274453</v>
      </c>
      <c r="J33" s="12" t="n">
        <f aca="false">IF(E33=0,"-",I33/E33)</f>
        <v>1.05275982606106</v>
      </c>
      <c r="K33" s="10" t="n">
        <f aca="false">IF(OR(E33=0,H33=0),"-",E33*1000/H33)</f>
        <v>5799050761.50383</v>
      </c>
      <c r="L33" s="10" t="n">
        <f aca="false">IF(E33=0,"-",G33-K33)</f>
        <v>305956909.496173</v>
      </c>
      <c r="M33" s="10" t="n">
        <f aca="false">G33*(1-$C$5)*H33/1000</f>
        <v>7436848.06147008</v>
      </c>
      <c r="N33" s="10" t="n">
        <f aca="false">MAX(0,E33-M33)</f>
        <v>412201.938529925</v>
      </c>
    </row>
    <row r="34" customFormat="false" ht="15" hidden="false" customHeight="true" outlineLevel="0" collapsed="false">
      <c r="A34" s="13" t="s">
        <v>45</v>
      </c>
      <c r="B34" s="14" t="n">
        <f aca="false">SUM(B8:B33)</f>
        <v>64000000</v>
      </c>
      <c r="C34" s="14" t="n">
        <f aca="false">SUM(C8:C33)</f>
        <v>64000000</v>
      </c>
      <c r="D34" s="14" t="n">
        <f aca="false">SUM(D8:D33)</f>
        <v>60710330</v>
      </c>
      <c r="E34" s="14" t="n">
        <f aca="false">SUM(E8:E33)</f>
        <v>124710330</v>
      </c>
      <c r="N34" s="14" t="n">
        <f aca="false">SUM(N8:N33)</f>
        <v>8386075.51765009</v>
      </c>
    </row>
    <row r="36" customFormat="false" ht="15" hidden="false" customHeight="true" outlineLevel="0" collapsed="false">
      <c r="A36" s="22" t="s">
        <v>80</v>
      </c>
    </row>
  </sheetData>
  <mergeCells count="1">
    <mergeCell ref="A5:B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7" min="2" style="1" width="14"/>
    <col collapsed="false" customWidth="true" hidden="false" outlineLevel="0" max="8" min="8" style="1" width="3"/>
    <col collapsed="false" customWidth="true" hidden="false" outlineLevel="0" max="9" min="9" style="1" width="8"/>
    <col collapsed="false" customWidth="true" hidden="false" outlineLevel="0" max="15" min="10" style="1" width="14"/>
  </cols>
  <sheetData>
    <row r="1" customFormat="false" ht="15" hidden="false" customHeight="true" outlineLevel="0" collapsed="false">
      <c r="A1" s="23" t="s">
        <v>81</v>
      </c>
    </row>
    <row r="2" customFormat="false" ht="15" hidden="false" customHeight="true" outlineLevel="0" collapsed="false">
      <c r="A2" s="24" t="s">
        <v>82</v>
      </c>
    </row>
    <row r="4" customFormat="false" ht="15" hidden="false" customHeight="true" outlineLevel="0" collapsed="false">
      <c r="A4" s="25" t="s">
        <v>83</v>
      </c>
    </row>
    <row r="5" customFormat="false" ht="15" hidden="false" customHeight="true" outlineLevel="0" collapsed="false">
      <c r="A5" s="26" t="s">
        <v>84</v>
      </c>
      <c r="C5" s="27" t="n">
        <v>0.1</v>
      </c>
      <c r="D5" s="1" t="s">
        <v>85</v>
      </c>
    </row>
    <row r="6" customFormat="false" ht="15" hidden="false" customHeight="true" outlineLevel="0" collapsed="false">
      <c r="A6" s="26" t="s">
        <v>86</v>
      </c>
      <c r="C6" s="28" t="n">
        <v>2027</v>
      </c>
    </row>
    <row r="7" customFormat="false" ht="15" hidden="false" customHeight="true" outlineLevel="0" collapsed="false">
      <c r="A7" s="26" t="s">
        <v>87</v>
      </c>
      <c r="C7" s="28" t="n">
        <v>2051</v>
      </c>
    </row>
    <row r="9" customFormat="false" ht="15" hidden="false" customHeight="true" outlineLevel="0" collapsed="false">
      <c r="A9" s="25" t="s">
        <v>88</v>
      </c>
      <c r="I9" s="25" t="s">
        <v>89</v>
      </c>
    </row>
    <row r="10" customFormat="false" ht="34.5" hidden="false" customHeight="true" outlineLevel="0" collapsed="false">
      <c r="A10" s="29" t="s">
        <v>5</v>
      </c>
      <c r="B10" s="29" t="s">
        <v>9</v>
      </c>
      <c r="C10" s="29" t="s">
        <v>11</v>
      </c>
      <c r="D10" s="29" t="s">
        <v>12</v>
      </c>
      <c r="E10" s="29" t="s">
        <v>90</v>
      </c>
      <c r="F10" s="29" t="s">
        <v>91</v>
      </c>
      <c r="G10" s="29" t="s">
        <v>18</v>
      </c>
      <c r="I10" s="29" t="s">
        <v>5</v>
      </c>
      <c r="J10" s="29" t="s">
        <v>9</v>
      </c>
      <c r="K10" s="29" t="s">
        <v>11</v>
      </c>
      <c r="L10" s="29" t="s">
        <v>12</v>
      </c>
      <c r="M10" s="29" t="s">
        <v>90</v>
      </c>
      <c r="N10" s="29" t="s">
        <v>91</v>
      </c>
      <c r="O10" s="29" t="s">
        <v>18</v>
      </c>
    </row>
    <row r="11" customFormat="false" ht="15" hidden="false" customHeight="true" outlineLevel="0" collapsed="false">
      <c r="A11" s="26" t="n">
        <v>2026</v>
      </c>
      <c r="B11" s="30" t="n">
        <f aca="false">'Bond Schedule (Base Case)'!E8</f>
        <v>0</v>
      </c>
      <c r="C11" s="30" t="n">
        <f aca="false">'Bond Schedule (Base Case)'!G8</f>
        <v>0</v>
      </c>
      <c r="D11" s="31" t="n">
        <f aca="false">'Bond Schedule (Base Case)'!H8</f>
        <v>0</v>
      </c>
      <c r="E11" s="32" t="n">
        <f aca="false">MAX(0,MIN($C$5,$C$5*(A11-$C$6)/($C$7-$C$6)))</f>
        <v>0</v>
      </c>
      <c r="F11" s="33" t="n">
        <f aca="false">C11*(1-E11)*D11/1000</f>
        <v>0</v>
      </c>
      <c r="G11" s="33" t="n">
        <f aca="false">MAX(0,B11-F11)</f>
        <v>0</v>
      </c>
      <c r="I11" s="26" t="n">
        <v>2026</v>
      </c>
      <c r="J11" s="30" t="n">
        <f aca="false">'Conservative ($64M, App C)'!E8</f>
        <v>0</v>
      </c>
      <c r="K11" s="30" t="n">
        <f aca="false">'Conservative ($64M, App C)'!G8</f>
        <v>0</v>
      </c>
      <c r="L11" s="31" t="n">
        <f aca="false">'Conservative ($64M, App C)'!H8</f>
        <v>0</v>
      </c>
      <c r="M11" s="32" t="n">
        <f aca="false">MAX(0,MIN($C$5,$C$5*(I11-$C$6)/($C$7-$C$6)))</f>
        <v>0</v>
      </c>
      <c r="N11" s="33" t="n">
        <f aca="false">K11*(1-M11)*L11/1000</f>
        <v>0</v>
      </c>
      <c r="O11" s="33" t="n">
        <f aca="false">MAX(0,J11-N11)</f>
        <v>0</v>
      </c>
    </row>
    <row r="12" customFormat="false" ht="15" hidden="false" customHeight="true" outlineLevel="0" collapsed="false">
      <c r="A12" s="26" t="n">
        <v>2027</v>
      </c>
      <c r="B12" s="30" t="n">
        <f aca="false">'Bond Schedule (Base Case)'!E9</f>
        <v>0</v>
      </c>
      <c r="C12" s="30" t="n">
        <f aca="false">'Bond Schedule (Base Case)'!G9</f>
        <v>12684969</v>
      </c>
      <c r="D12" s="31" t="n">
        <f aca="false">'Bond Schedule (Base Case)'!H9</f>
        <v>2.801883</v>
      </c>
      <c r="E12" s="32" t="n">
        <f aca="false">MAX(0,MIN($C$5,$C$5*(A12-$C$6)/($C$7-$C$6)))</f>
        <v>0</v>
      </c>
      <c r="F12" s="33" t="n">
        <f aca="false">C12*(1-E12)*D12/1000</f>
        <v>35541.798996627</v>
      </c>
      <c r="G12" s="33" t="n">
        <f aca="false">MAX(0,B12-F12)</f>
        <v>0</v>
      </c>
      <c r="I12" s="26" t="n">
        <v>2027</v>
      </c>
      <c r="J12" s="30" t="n">
        <f aca="false">'Conservative ($64M, App C)'!E9</f>
        <v>0</v>
      </c>
      <c r="K12" s="30" t="n">
        <f aca="false">'Conservative ($64M, App C)'!G9</f>
        <v>12684969</v>
      </c>
      <c r="L12" s="31" t="n">
        <f aca="false">'Conservative ($64M, App C)'!H9</f>
        <v>2.801883</v>
      </c>
      <c r="M12" s="32" t="n">
        <f aca="false">MAX(0,MIN($C$5,$C$5*(I12-$C$6)/($C$7-$C$6)))</f>
        <v>0</v>
      </c>
      <c r="N12" s="33" t="n">
        <f aca="false">K12*(1-M12)*L12/1000</f>
        <v>35541.798996627</v>
      </c>
      <c r="O12" s="33" t="n">
        <f aca="false">MAX(0,J12-N12)</f>
        <v>0</v>
      </c>
    </row>
    <row r="13" customFormat="false" ht="15" hidden="false" customHeight="true" outlineLevel="0" collapsed="false">
      <c r="A13" s="26" t="n">
        <v>2028</v>
      </c>
      <c r="B13" s="30" t="n">
        <f aca="false">'Bond Schedule (Base Case)'!E10</f>
        <v>0</v>
      </c>
      <c r="C13" s="30" t="n">
        <f aca="false">'Bond Schedule (Base Case)'!G10</f>
        <v>225514176</v>
      </c>
      <c r="D13" s="31" t="n">
        <f aca="false">'Bond Schedule (Base Case)'!H10</f>
        <v>2.702946</v>
      </c>
      <c r="E13" s="32" t="n">
        <f aca="false">MAX(0,MIN($C$5,$C$5*(A13-$C$6)/($C$7-$C$6)))</f>
        <v>0.00416666666666667</v>
      </c>
      <c r="F13" s="33" t="n">
        <f aca="false">C13*(1-E13)*D13/1000</f>
        <v>607012.837295986</v>
      </c>
      <c r="G13" s="33" t="n">
        <f aca="false">MAX(0,B13-F13)</f>
        <v>0</v>
      </c>
      <c r="I13" s="26" t="n">
        <v>2028</v>
      </c>
      <c r="J13" s="30" t="n">
        <f aca="false">'Conservative ($64M, App C)'!E10</f>
        <v>0</v>
      </c>
      <c r="K13" s="30" t="n">
        <f aca="false">'Conservative ($64M, App C)'!G10</f>
        <v>225514176</v>
      </c>
      <c r="L13" s="31" t="n">
        <f aca="false">'Conservative ($64M, App C)'!H10</f>
        <v>2.702946</v>
      </c>
      <c r="M13" s="32" t="n">
        <f aca="false">MAX(0,MIN($C$5,$C$5*(I13-$C$6)/($C$7-$C$6)))</f>
        <v>0.00416666666666667</v>
      </c>
      <c r="N13" s="33" t="n">
        <f aca="false">K13*(1-M13)*L13/1000</f>
        <v>607012.837295986</v>
      </c>
      <c r="O13" s="33" t="n">
        <f aca="false">MAX(0,J13-N13)</f>
        <v>0</v>
      </c>
    </row>
    <row r="14" customFormat="false" ht="15" hidden="false" customHeight="true" outlineLevel="0" collapsed="false">
      <c r="A14" s="26" t="n">
        <v>2029</v>
      </c>
      <c r="B14" s="30" t="n">
        <f aca="false">'Bond Schedule (Base Case)'!E11</f>
        <v>0</v>
      </c>
      <c r="C14" s="30" t="n">
        <f aca="false">'Bond Schedule (Base Case)'!G11</f>
        <v>575401259</v>
      </c>
      <c r="D14" s="31" t="n">
        <f aca="false">'Bond Schedule (Base Case)'!H11</f>
        <v>2.61309</v>
      </c>
      <c r="E14" s="32" t="n">
        <f aca="false">MAX(0,MIN($C$5,$C$5*(A14-$C$6)/($C$7-$C$6)))</f>
        <v>0.00833333333333333</v>
      </c>
      <c r="F14" s="33" t="n">
        <f aca="false">C14*(1-E14)*D14/1000</f>
        <v>1491045.48191464</v>
      </c>
      <c r="G14" s="33" t="n">
        <f aca="false">MAX(0,B14-F14)</f>
        <v>0</v>
      </c>
      <c r="I14" s="26" t="n">
        <v>2029</v>
      </c>
      <c r="J14" s="30" t="n">
        <f aca="false">'Conservative ($64M, App C)'!E11</f>
        <v>0</v>
      </c>
      <c r="K14" s="30" t="n">
        <f aca="false">'Conservative ($64M, App C)'!G11</f>
        <v>575401259</v>
      </c>
      <c r="L14" s="31" t="n">
        <f aca="false">'Conservative ($64M, App C)'!H11</f>
        <v>2.61309</v>
      </c>
      <c r="M14" s="32" t="n">
        <f aca="false">MAX(0,MIN($C$5,$C$5*(I14-$C$6)/($C$7-$C$6)))</f>
        <v>0.00833333333333333</v>
      </c>
      <c r="N14" s="33" t="n">
        <f aca="false">K14*(1-M14)*L14/1000</f>
        <v>1491045.48191464</v>
      </c>
      <c r="O14" s="33" t="n">
        <f aca="false">MAX(0,J14-N14)</f>
        <v>0</v>
      </c>
    </row>
    <row r="15" customFormat="false" ht="15" hidden="false" customHeight="true" outlineLevel="0" collapsed="false">
      <c r="A15" s="26" t="n">
        <v>2030</v>
      </c>
      <c r="B15" s="30" t="n">
        <f aca="false">'Bond Schedule (Base Case)'!E12</f>
        <v>2417375</v>
      </c>
      <c r="C15" s="30" t="n">
        <f aca="false">'Bond Schedule (Base Case)'!G12</f>
        <v>972752562</v>
      </c>
      <c r="D15" s="31" t="n">
        <f aca="false">'Bond Schedule (Base Case)'!H12</f>
        <v>2.530088</v>
      </c>
      <c r="E15" s="32" t="n">
        <f aca="false">MAX(0,MIN($C$5,$C$5*(A15-$C$6)/($C$7-$C$6)))</f>
        <v>0.0125</v>
      </c>
      <c r="F15" s="33" t="n">
        <f aca="false">C15*(1-E15)*D15/1000</f>
        <v>2430385.21428439</v>
      </c>
      <c r="G15" s="33" t="n">
        <f aca="false">MAX(0,B15-F15)</f>
        <v>0</v>
      </c>
      <c r="I15" s="26" t="n">
        <v>2030</v>
      </c>
      <c r="J15" s="30" t="n">
        <f aca="false">'Conservative ($64M, App C)'!E12</f>
        <v>2436638</v>
      </c>
      <c r="K15" s="30" t="n">
        <f aca="false">'Conservative ($64M, App C)'!G12</f>
        <v>972752562</v>
      </c>
      <c r="L15" s="31" t="n">
        <f aca="false">'Conservative ($64M, App C)'!H12</f>
        <v>2.530088</v>
      </c>
      <c r="M15" s="32" t="n">
        <f aca="false">MAX(0,MIN($C$5,$C$5*(I15-$C$6)/($C$7-$C$6)))</f>
        <v>0.0125</v>
      </c>
      <c r="N15" s="33" t="n">
        <f aca="false">K15*(1-M15)*L15/1000</f>
        <v>2430385.21428439</v>
      </c>
      <c r="O15" s="33" t="n">
        <f aca="false">MAX(0,J15-N15)</f>
        <v>6252.78571561212</v>
      </c>
    </row>
    <row r="16" customFormat="false" ht="15" hidden="false" customHeight="true" outlineLevel="0" collapsed="false">
      <c r="A16" s="26" t="n">
        <v>2031</v>
      </c>
      <c r="B16" s="30" t="n">
        <f aca="false">'Bond Schedule (Base Case)'!E13</f>
        <v>2417375</v>
      </c>
      <c r="C16" s="30" t="n">
        <f aca="false">'Bond Schedule (Base Case)'!G13</f>
        <v>1390371695</v>
      </c>
      <c r="D16" s="31" t="n">
        <f aca="false">'Bond Schedule (Base Case)'!H13</f>
        <v>2.455658</v>
      </c>
      <c r="E16" s="32" t="n">
        <f aca="false">MAX(0,MIN($C$5,$C$5*(A16-$C$6)/($C$7-$C$6)))</f>
        <v>0.0166666666666667</v>
      </c>
      <c r="F16" s="33" t="n">
        <f aca="false">C16*(1-E16)*D16/1000</f>
        <v>3357372.7528703</v>
      </c>
      <c r="G16" s="33" t="n">
        <f aca="false">MAX(0,B16-F16)</f>
        <v>0</v>
      </c>
      <c r="I16" s="26" t="n">
        <v>2031</v>
      </c>
      <c r="J16" s="30" t="n">
        <f aca="false">'Conservative ($64M, App C)'!E13</f>
        <v>2436638</v>
      </c>
      <c r="K16" s="30" t="n">
        <f aca="false">'Conservative ($64M, App C)'!G13</f>
        <v>1390371695</v>
      </c>
      <c r="L16" s="31" t="n">
        <f aca="false">'Conservative ($64M, App C)'!H13</f>
        <v>2.455658</v>
      </c>
      <c r="M16" s="32" t="n">
        <f aca="false">MAX(0,MIN($C$5,$C$5*(I16-$C$6)/($C$7-$C$6)))</f>
        <v>0.0166666666666667</v>
      </c>
      <c r="N16" s="33" t="n">
        <f aca="false">K16*(1-M16)*L16/1000</f>
        <v>3357372.7528703</v>
      </c>
      <c r="O16" s="33" t="n">
        <f aca="false">MAX(0,J16-N16)</f>
        <v>0</v>
      </c>
    </row>
    <row r="17" customFormat="false" ht="15" hidden="false" customHeight="true" outlineLevel="0" collapsed="false">
      <c r="A17" s="26" t="n">
        <v>2032</v>
      </c>
      <c r="B17" s="30" t="n">
        <f aca="false">'Bond Schedule (Base Case)'!E14</f>
        <v>2537375</v>
      </c>
      <c r="C17" s="30" t="n">
        <f aca="false">'Bond Schedule (Base Case)'!G14</f>
        <v>1706108035</v>
      </c>
      <c r="D17" s="31" t="n">
        <f aca="false">'Bond Schedule (Base Case)'!H14</f>
        <v>2.388347</v>
      </c>
      <c r="E17" s="32" t="n">
        <f aca="false">MAX(0,MIN($C$5,$C$5*(A17-$C$6)/($C$7-$C$6)))</f>
        <v>0.0208333333333333</v>
      </c>
      <c r="F17" s="33" t="n">
        <f aca="false">C17*(1-E17)*D17/1000</f>
        <v>3989886.79858756</v>
      </c>
      <c r="G17" s="33" t="n">
        <f aca="false">MAX(0,B17-F17)</f>
        <v>0</v>
      </c>
      <c r="I17" s="26" t="n">
        <v>2032</v>
      </c>
      <c r="J17" s="30" t="n">
        <f aca="false">'Conservative ($64M, App C)'!E14</f>
        <v>2466638</v>
      </c>
      <c r="K17" s="30" t="n">
        <f aca="false">'Conservative ($64M, App C)'!G14</f>
        <v>1706108035</v>
      </c>
      <c r="L17" s="31" t="n">
        <f aca="false">'Conservative ($64M, App C)'!H14</f>
        <v>2.388347</v>
      </c>
      <c r="M17" s="32" t="n">
        <f aca="false">MAX(0,MIN($C$5,$C$5*(I17-$C$6)/($C$7-$C$6)))</f>
        <v>0.0208333333333333</v>
      </c>
      <c r="N17" s="33" t="n">
        <f aca="false">K17*(1-M17)*L17/1000</f>
        <v>3989886.79858756</v>
      </c>
      <c r="O17" s="33" t="n">
        <f aca="false">MAX(0,J17-N17)</f>
        <v>0</v>
      </c>
    </row>
    <row r="18" customFormat="false" ht="15" hidden="false" customHeight="true" outlineLevel="0" collapsed="false">
      <c r="A18" s="26" t="n">
        <v>2033</v>
      </c>
      <c r="B18" s="30" t="n">
        <f aca="false">'Bond Schedule (Base Case)'!E15</f>
        <v>4571050</v>
      </c>
      <c r="C18" s="30" t="n">
        <f aca="false">'Bond Schedule (Base Case)'!G15</f>
        <v>2038795926</v>
      </c>
      <c r="D18" s="31" t="n">
        <f aca="false">'Bond Schedule (Base Case)'!H15</f>
        <v>2.320451</v>
      </c>
      <c r="E18" s="32" t="n">
        <f aca="false">MAX(0,MIN($C$5,$C$5*(A18-$C$6)/($C$7-$C$6)))</f>
        <v>0.025</v>
      </c>
      <c r="F18" s="33" t="n">
        <f aca="false">C18*(1-E18)*D18/1000</f>
        <v>4612652.89415056</v>
      </c>
      <c r="G18" s="33" t="n">
        <f aca="false">MAX(0,B18-F18)</f>
        <v>0</v>
      </c>
      <c r="I18" s="26" t="n">
        <v>2033</v>
      </c>
      <c r="J18" s="30" t="n">
        <f aca="false">'Conservative ($64M, App C)'!E15</f>
        <v>4661850</v>
      </c>
      <c r="K18" s="30" t="n">
        <f aca="false">'Conservative ($64M, App C)'!G15</f>
        <v>2038795926</v>
      </c>
      <c r="L18" s="31" t="n">
        <f aca="false">'Conservative ($64M, App C)'!H15</f>
        <v>2.320451</v>
      </c>
      <c r="M18" s="32" t="n">
        <f aca="false">MAX(0,MIN($C$5,$C$5*(I18-$C$6)/($C$7-$C$6)))</f>
        <v>0.025</v>
      </c>
      <c r="N18" s="33" t="n">
        <f aca="false">K18*(1-M18)*L18/1000</f>
        <v>4612652.89415056</v>
      </c>
      <c r="O18" s="33" t="n">
        <f aca="false">MAX(0,J18-N18)</f>
        <v>49197.1058494402</v>
      </c>
    </row>
    <row r="19" customFormat="false" ht="15" hidden="false" customHeight="true" outlineLevel="0" collapsed="false">
      <c r="A19" s="26" t="n">
        <v>2034</v>
      </c>
      <c r="B19" s="30" t="n">
        <f aca="false">'Bond Schedule (Base Case)'!E16</f>
        <v>4763800</v>
      </c>
      <c r="C19" s="30" t="n">
        <f aca="false">'Bond Schedule (Base Case)'!G16</f>
        <v>2715522365</v>
      </c>
      <c r="D19" s="31" t="n">
        <f aca="false">'Bond Schedule (Base Case)'!H16</f>
        <v>2.210389</v>
      </c>
      <c r="E19" s="32" t="n">
        <f aca="false">MAX(0,MIN($C$5,$C$5*(A19-$C$6)/($C$7-$C$6)))</f>
        <v>0.0291666666666667</v>
      </c>
      <c r="F19" s="33" t="n">
        <f aca="false">C19*(1-E19)*D19/1000</f>
        <v>5827291.90920853</v>
      </c>
      <c r="G19" s="33" t="n">
        <f aca="false">MAX(0,B19-F19)</f>
        <v>0</v>
      </c>
      <c r="I19" s="26" t="n">
        <v>2034</v>
      </c>
      <c r="J19" s="30" t="n">
        <f aca="false">'Conservative ($64M, App C)'!E16</f>
        <v>4861100</v>
      </c>
      <c r="K19" s="30" t="n">
        <f aca="false">'Conservative ($64M, App C)'!G16</f>
        <v>2190080098</v>
      </c>
      <c r="L19" s="31" t="n">
        <f aca="false">'Conservative ($64M, App C)'!H16</f>
        <v>2.256464</v>
      </c>
      <c r="M19" s="32" t="n">
        <f aca="false">MAX(0,MIN($C$5,$C$5*(I19-$C$6)/($C$7-$C$6)))</f>
        <v>0.0291666666666667</v>
      </c>
      <c r="N19" s="33" t="n">
        <f aca="false">K19*(1-M19)*L19/1000</f>
        <v>4797699.98872108</v>
      </c>
      <c r="O19" s="33" t="n">
        <f aca="false">MAX(0,J19-N19)</f>
        <v>63400.0112789208</v>
      </c>
    </row>
    <row r="20" customFormat="false" ht="15" hidden="false" customHeight="true" outlineLevel="0" collapsed="false">
      <c r="A20" s="26" t="n">
        <v>2035</v>
      </c>
      <c r="B20" s="30" t="n">
        <f aca="false">'Bond Schedule (Base Case)'!E17</f>
        <v>4869800</v>
      </c>
      <c r="C20" s="30" t="n">
        <f aca="false">'Bond Schedule (Base Case)'!G17</f>
        <v>2832893456</v>
      </c>
      <c r="D20" s="31" t="n">
        <f aca="false">'Bond Schedule (Base Case)'!H17</f>
        <v>2.186519</v>
      </c>
      <c r="E20" s="32" t="n">
        <f aca="false">MAX(0,MIN($C$5,$C$5*(A20-$C$6)/($C$7-$C$6)))</f>
        <v>0.0333333333333333</v>
      </c>
      <c r="F20" s="33" t="n">
        <f aca="false">C20*(1-E20)*D20/1000</f>
        <v>5987702.85430234</v>
      </c>
      <c r="G20" s="33" t="n">
        <f aca="false">MAX(0,B20-F20)</f>
        <v>0</v>
      </c>
      <c r="I20" s="26" t="n">
        <v>2035</v>
      </c>
      <c r="J20" s="30" t="n">
        <f aca="false">'Conservative ($64M, App C)'!E17</f>
        <v>4973600</v>
      </c>
      <c r="K20" s="30" t="n">
        <f aca="false">'Conservative ($64M, App C)'!G17</f>
        <v>2307451189</v>
      </c>
      <c r="L20" s="31" t="n">
        <f aca="false">'Conservative ($64M, App C)'!H17</f>
        <v>2.187878</v>
      </c>
      <c r="M20" s="32" t="n">
        <f aca="false">MAX(0,MIN($C$5,$C$5*(I20-$C$6)/($C$7-$C$6)))</f>
        <v>0.0333333333333333</v>
      </c>
      <c r="N20" s="33" t="n">
        <f aca="false">K20*(1-M20)*L20/1000</f>
        <v>4880140.96940405</v>
      </c>
      <c r="O20" s="33" t="n">
        <f aca="false">MAX(0,J20-N20)</f>
        <v>93459.0305959554</v>
      </c>
    </row>
    <row r="21" customFormat="false" ht="15" hidden="false" customHeight="true" outlineLevel="0" collapsed="false">
      <c r="A21" s="26" t="n">
        <v>2036</v>
      </c>
      <c r="B21" s="30" t="n">
        <f aca="false">'Bond Schedule (Base Case)'!E18</f>
        <v>6409475</v>
      </c>
      <c r="C21" s="30" t="n">
        <f aca="false">'Bond Schedule (Base Case)'!G18</f>
        <v>3544497045</v>
      </c>
      <c r="D21" s="31" t="n">
        <f aca="false">'Bond Schedule (Base Case)'!H18</f>
        <v>2.088785</v>
      </c>
      <c r="E21" s="32" t="n">
        <f aca="false">MAX(0,MIN($C$5,$C$5*(A21-$C$6)/($C$7-$C$6)))</f>
        <v>0.0375</v>
      </c>
      <c r="F21" s="33" t="n">
        <f aca="false">C21*(1-E21)*D21/1000</f>
        <v>7126053.80038506</v>
      </c>
      <c r="G21" s="33" t="n">
        <f aca="false">MAX(0,B21-F21)</f>
        <v>0</v>
      </c>
      <c r="I21" s="26" t="n">
        <v>2036</v>
      </c>
      <c r="J21" s="30" t="n">
        <f aca="false">'Conservative ($64M, App C)'!E18</f>
        <v>5101450</v>
      </c>
      <c r="K21" s="30" t="n">
        <f aca="false">'Conservative ($64M, App C)'!G18</f>
        <v>2444159986</v>
      </c>
      <c r="L21" s="31" t="n">
        <f aca="false">'Conservative ($64M, App C)'!H18</f>
        <v>2.125126</v>
      </c>
      <c r="M21" s="32" t="n">
        <f aca="false">MAX(0,MIN($C$5,$C$5*(I21-$C$6)/($C$7-$C$6)))</f>
        <v>0.0375</v>
      </c>
      <c r="N21" s="33" t="n">
        <f aca="false">K21*(1-M21)*L21/1000</f>
        <v>4999367.38686793</v>
      </c>
      <c r="O21" s="33" t="n">
        <f aca="false">MAX(0,J21-N21)</f>
        <v>102082.613132074</v>
      </c>
    </row>
    <row r="22" customFormat="false" ht="15" hidden="false" customHeight="true" outlineLevel="0" collapsed="false">
      <c r="A22" s="26" t="n">
        <v>2037</v>
      </c>
      <c r="B22" s="30" t="n">
        <f aca="false">'Bond Schedule (Base Case)'!E19</f>
        <v>6615975</v>
      </c>
      <c r="C22" s="30" t="n">
        <f aca="false">'Bond Schedule (Base Case)'!G19</f>
        <v>3701444057</v>
      </c>
      <c r="D22" s="31" t="n">
        <f aca="false">'Bond Schedule (Base Case)'!H19</f>
        <v>2.069257</v>
      </c>
      <c r="E22" s="32" t="n">
        <f aca="false">MAX(0,MIN($C$5,$C$5*(A22-$C$6)/($C$7-$C$6)))</f>
        <v>0.0416666666666667</v>
      </c>
      <c r="F22" s="33" t="n">
        <f aca="false">C22*(1-E22)*D22/1000</f>
        <v>7340104.06567833</v>
      </c>
      <c r="G22" s="33" t="n">
        <f aca="false">MAX(0,B22-F22)</f>
        <v>0</v>
      </c>
      <c r="I22" s="26" t="n">
        <v>2037</v>
      </c>
      <c r="J22" s="30" t="n">
        <f aca="false">'Conservative ($64M, App C)'!E19</f>
        <v>5264763</v>
      </c>
      <c r="K22" s="30" t="n">
        <f aca="false">'Conservative ($64M, App C)'!G19</f>
        <v>2601106998</v>
      </c>
      <c r="L22" s="31" t="n">
        <f aca="false">'Conservative ($64M, App C)'!H19</f>
        <v>2.064242</v>
      </c>
      <c r="M22" s="32" t="n">
        <f aca="false">MAX(0,MIN($C$5,$C$5*(I22-$C$6)/($C$7-$C$6)))</f>
        <v>0.0416666666666667</v>
      </c>
      <c r="N22" s="33" t="n">
        <f aca="false">K22*(1-M22)*L22/1000</f>
        <v>5145592.88210862</v>
      </c>
      <c r="O22" s="33" t="n">
        <f aca="false">MAX(0,J22-N22)</f>
        <v>119170.117891381</v>
      </c>
    </row>
    <row r="23" customFormat="false" ht="15" hidden="false" customHeight="true" outlineLevel="0" collapsed="false">
      <c r="A23" s="26" t="n">
        <v>2038</v>
      </c>
      <c r="B23" s="30" t="n">
        <f aca="false">'Bond Schedule (Base Case)'!E20</f>
        <v>6827475</v>
      </c>
      <c r="C23" s="30" t="n">
        <f aca="false">'Bond Schedule (Base Case)'!G20</f>
        <v>4523485992</v>
      </c>
      <c r="D23" s="31" t="n">
        <f aca="false">'Bond Schedule (Base Case)'!H20</f>
        <v>1.979933</v>
      </c>
      <c r="E23" s="32" t="n">
        <f aca="false">MAX(0,MIN($C$5,$C$5*(A23-$C$6)/($C$7-$C$6)))</f>
        <v>0.0458333333333333</v>
      </c>
      <c r="F23" s="33" t="n">
        <f aca="false">C23*(1-E23)*D23/1000</f>
        <v>8545706.7276961</v>
      </c>
      <c r="G23" s="33" t="n">
        <f aca="false">MAX(0,B23-F23)</f>
        <v>0</v>
      </c>
      <c r="I23" s="26" t="n">
        <v>2038</v>
      </c>
      <c r="J23" s="30" t="n">
        <f aca="false">'Conservative ($64M, App C)'!E20</f>
        <v>5433938</v>
      </c>
      <c r="K23" s="30" t="n">
        <f aca="false">'Conservative ($64M, App C)'!G20</f>
        <v>2769976999</v>
      </c>
      <c r="L23" s="31" t="n">
        <f aca="false">'Conservative ($64M, App C)'!H20</f>
        <v>2.004764</v>
      </c>
      <c r="M23" s="32" t="n">
        <f aca="false">MAX(0,MIN($C$5,$C$5*(I23-$C$6)/($C$7-$C$6)))</f>
        <v>0.0458333333333333</v>
      </c>
      <c r="N23" s="33" t="n">
        <f aca="false">K23*(1-M23)*L23/1000</f>
        <v>5298630.78570384</v>
      </c>
      <c r="O23" s="33" t="n">
        <f aca="false">MAX(0,J23-N23)</f>
        <v>135307.214296161</v>
      </c>
    </row>
    <row r="24" customFormat="false" ht="15" hidden="false" customHeight="true" outlineLevel="0" collapsed="false">
      <c r="A24" s="26" t="n">
        <v>2039</v>
      </c>
      <c r="B24" s="30" t="n">
        <f aca="false">'Bond Schedule (Base Case)'!E21</f>
        <v>9128963</v>
      </c>
      <c r="C24" s="30" t="n">
        <f aca="false">'Bond Schedule (Base Case)'!G21</f>
        <v>4727567921</v>
      </c>
      <c r="D24" s="31" t="n">
        <f aca="false">'Bond Schedule (Base Case)'!H21</f>
        <v>1.960286</v>
      </c>
      <c r="E24" s="32" t="n">
        <f aca="false">MAX(0,MIN($C$5,$C$5*(A24-$C$6)/($C$7-$C$6)))</f>
        <v>0.05</v>
      </c>
      <c r="F24" s="33" t="n">
        <f aca="false">C24*(1-E24)*D24/1000</f>
        <v>8804015.94910613</v>
      </c>
      <c r="G24" s="33" t="n">
        <f aca="false">MAX(0,B24-F24)</f>
        <v>324947.050893866</v>
      </c>
      <c r="I24" s="26" t="n">
        <v>2039</v>
      </c>
      <c r="J24" s="30" t="n">
        <f aca="false">'Conservative ($64M, App C)'!E21</f>
        <v>5603075</v>
      </c>
      <c r="K24" s="30" t="n">
        <f aca="false">'Conservative ($64M, App C)'!G21</f>
        <v>2948776748</v>
      </c>
      <c r="L24" s="31" t="n">
        <f aca="false">'Conservative ($64M, App C)'!H21</f>
        <v>1.946688</v>
      </c>
      <c r="M24" s="32" t="n">
        <f aca="false">MAX(0,MIN($C$5,$C$5*(I24-$C$6)/($C$7-$C$6)))</f>
        <v>0.05</v>
      </c>
      <c r="N24" s="33" t="n">
        <f aca="false">K24*(1-M24)*L24/1000</f>
        <v>5453330.89451009</v>
      </c>
      <c r="O24" s="33" t="n">
        <f aca="false">MAX(0,J24-N24)</f>
        <v>149744.105489907</v>
      </c>
    </row>
    <row r="25" customFormat="false" ht="15" hidden="false" customHeight="true" outlineLevel="0" collapsed="false">
      <c r="A25" s="26" t="n">
        <v>2040</v>
      </c>
      <c r="B25" s="30" t="n">
        <f aca="false">'Bond Schedule (Base Case)'!E22</f>
        <v>9408513</v>
      </c>
      <c r="C25" s="30" t="n">
        <f aca="false">'Bond Schedule (Base Case)'!G22</f>
        <v>5657944653</v>
      </c>
      <c r="D25" s="31" t="n">
        <f aca="false">'Bond Schedule (Base Case)'!H22</f>
        <v>1.877927</v>
      </c>
      <c r="E25" s="32" t="n">
        <f aca="false">MAX(0,MIN($C$5,$C$5*(A25-$C$6)/($C$7-$C$6)))</f>
        <v>0.0541666666666667</v>
      </c>
      <c r="F25" s="33" t="n">
        <f aca="false">C25*(1-E25)*D25/1000</f>
        <v>10049674.9810041</v>
      </c>
      <c r="G25" s="33" t="n">
        <f aca="false">MAX(0,B25-F25)</f>
        <v>0</v>
      </c>
      <c r="I25" s="26" t="n">
        <v>2040</v>
      </c>
      <c r="J25" s="30" t="n">
        <f aca="false">'Conservative ($64M, App C)'!E22</f>
        <v>5779825</v>
      </c>
      <c r="K25" s="30" t="n">
        <f aca="false">'Conservative ($64M, App C)'!G22</f>
        <v>3138062455</v>
      </c>
      <c r="L25" s="31" t="n">
        <f aca="false">'Conservative ($64M, App C)'!H22</f>
        <v>1.890001</v>
      </c>
      <c r="M25" s="32" t="n">
        <f aca="false">MAX(0,MIN($C$5,$C$5*(I25-$C$6)/($C$7-$C$6)))</f>
        <v>0.0541666666666667</v>
      </c>
      <c r="N25" s="33" t="n">
        <f aca="false">K25*(1-M25)*L25/1000</f>
        <v>5609681.86420345</v>
      </c>
      <c r="O25" s="33" t="n">
        <f aca="false">MAX(0,J25-N25)</f>
        <v>170143.135796553</v>
      </c>
    </row>
    <row r="26" customFormat="false" ht="15" hidden="false" customHeight="true" outlineLevel="0" collapsed="false">
      <c r="A26" s="26" t="n">
        <v>2041</v>
      </c>
      <c r="B26" s="30" t="n">
        <f aca="false">'Bond Schedule (Base Case)'!E23</f>
        <v>9694100</v>
      </c>
      <c r="C26" s="30" t="n">
        <f aca="false">'Bond Schedule (Base Case)'!G23</f>
        <v>5913625960</v>
      </c>
      <c r="D26" s="31" t="n">
        <f aca="false">'Bond Schedule (Base Case)'!H23</f>
        <v>1.858324</v>
      </c>
      <c r="E26" s="32" t="n">
        <f aca="false">MAX(0,MIN($C$5,$C$5*(A26-$C$6)/($C$7-$C$6)))</f>
        <v>0.0583333333333333</v>
      </c>
      <c r="F26" s="33" t="n">
        <f aca="false">C26*(1-E26)*D26/1000</f>
        <v>10348382.7873291</v>
      </c>
      <c r="G26" s="33" t="n">
        <f aca="false">MAX(0,B26-F26)</f>
        <v>0</v>
      </c>
      <c r="I26" s="26" t="n">
        <v>2041</v>
      </c>
      <c r="J26" s="30" t="n">
        <f aca="false">'Conservative ($64M, App C)'!E23</f>
        <v>5948150</v>
      </c>
      <c r="K26" s="30" t="n">
        <f aca="false">'Conservative ($64M, App C)'!G23</f>
        <v>3338420486</v>
      </c>
      <c r="L26" s="31" t="n">
        <f aca="false">'Conservative ($64M, App C)'!H23</f>
        <v>1.834691</v>
      </c>
      <c r="M26" s="32" t="n">
        <f aca="false">MAX(0,MIN($C$5,$C$5*(I26-$C$6)/($C$7-$C$6)))</f>
        <v>0.0583333333333333</v>
      </c>
      <c r="N26" s="33" t="n">
        <f aca="false">K26*(1-M26)*L26/1000</f>
        <v>5767680.1020535</v>
      </c>
      <c r="O26" s="33" t="n">
        <f aca="false">MAX(0,J26-N26)</f>
        <v>180469.897946497</v>
      </c>
    </row>
    <row r="27" customFormat="false" ht="15" hidden="false" customHeight="true" outlineLevel="0" collapsed="false">
      <c r="A27" s="26" t="n">
        <v>2042</v>
      </c>
      <c r="B27" s="30" t="n">
        <f aca="false">'Bond Schedule (Base Case)'!E24</f>
        <v>9980438</v>
      </c>
      <c r="C27" s="30" t="n">
        <f aca="false">'Bond Schedule (Base Case)'!G24</f>
        <v>6212476662</v>
      </c>
      <c r="D27" s="31" t="n">
        <f aca="false">'Bond Schedule (Base Case)'!H24</f>
        <v>1.813731</v>
      </c>
      <c r="E27" s="32" t="n">
        <f aca="false">MAX(0,MIN($C$5,$C$5*(A27-$C$6)/($C$7-$C$6)))</f>
        <v>0.0625</v>
      </c>
      <c r="F27" s="33" t="n">
        <f aca="false">C27*(1-E27)*D27/1000</f>
        <v>10563526.4143556</v>
      </c>
      <c r="G27" s="33" t="n">
        <f aca="false">MAX(0,B27-F27)</f>
        <v>0</v>
      </c>
      <c r="I27" s="26" t="n">
        <v>2042</v>
      </c>
      <c r="J27" s="30" t="n">
        <f aca="false">'Conservative ($64M, App C)'!E24</f>
        <v>6131538</v>
      </c>
      <c r="K27" s="30" t="n">
        <f aca="false">'Conservative ($64M, App C)'!G24</f>
        <v>3550468968</v>
      </c>
      <c r="L27" s="31" t="n">
        <f aca="false">'Conservative ($64M, App C)'!H24</f>
        <v>1.780744</v>
      </c>
      <c r="M27" s="32" t="n">
        <f aca="false">MAX(0,MIN($C$5,$C$5*(I27-$C$6)/($C$7-$C$6)))</f>
        <v>0.0625</v>
      </c>
      <c r="N27" s="33" t="n">
        <f aca="false">K27*(1-M27)*L27/1000</f>
        <v>5927321.54245518</v>
      </c>
      <c r="O27" s="33" t="n">
        <f aca="false">MAX(0,J27-N27)</f>
        <v>204216.457544819</v>
      </c>
    </row>
    <row r="28" customFormat="false" ht="15" hidden="false" customHeight="true" outlineLevel="0" collapsed="false">
      <c r="A28" s="26" t="n">
        <v>2043</v>
      </c>
      <c r="B28" s="30" t="n">
        <f aca="false">'Bond Schedule (Base Case)'!E25</f>
        <v>10270638</v>
      </c>
      <c r="C28" s="30" t="n">
        <f aca="false">'Bond Schedule (Base Case)'!G25</f>
        <v>6527662280</v>
      </c>
      <c r="D28" s="31" t="n">
        <f aca="false">'Bond Schedule (Base Case)'!H25</f>
        <v>1.765911</v>
      </c>
      <c r="E28" s="32" t="n">
        <f aca="false">MAX(0,MIN($C$5,$C$5*(A28-$C$6)/($C$7-$C$6)))</f>
        <v>0.0666666666666667</v>
      </c>
      <c r="F28" s="33" t="n">
        <f aca="false">C28*(1-E28)*D28/1000</f>
        <v>10758785.9162346</v>
      </c>
      <c r="G28" s="33" t="n">
        <f aca="false">MAX(0,B28-F28)</f>
        <v>0</v>
      </c>
      <c r="I28" s="26" t="n">
        <v>2043</v>
      </c>
      <c r="J28" s="30" t="n">
        <f aca="false">'Conservative ($64M, App C)'!E25</f>
        <v>6311738</v>
      </c>
      <c r="K28" s="30" t="n">
        <f aca="false">'Conservative ($64M, App C)'!G25</f>
        <v>3774859466</v>
      </c>
      <c r="L28" s="31" t="n">
        <f aca="false">'Conservative ($64M, App C)'!H25</f>
        <v>1.728145</v>
      </c>
      <c r="M28" s="32" t="n">
        <f aca="false">MAX(0,MIN($C$5,$C$5*(I28-$C$6)/($C$7-$C$6)))</f>
        <v>0.0666666666666667</v>
      </c>
      <c r="N28" s="33" t="n">
        <f aca="false">K28*(1-M28)*L28/1000</f>
        <v>6088604.2110792</v>
      </c>
      <c r="O28" s="33" t="n">
        <f aca="false">MAX(0,J28-N28)</f>
        <v>223133.788920801</v>
      </c>
    </row>
    <row r="29" customFormat="false" ht="15" hidden="false" customHeight="true" outlineLevel="0" collapsed="false">
      <c r="A29" s="26" t="n">
        <v>2044</v>
      </c>
      <c r="B29" s="30" t="n">
        <f aca="false">'Bond Schedule (Base Case)'!E26</f>
        <v>10575350</v>
      </c>
      <c r="C29" s="30" t="n">
        <f aca="false">'Bond Schedule (Base Case)'!G26</f>
        <v>6891710491</v>
      </c>
      <c r="D29" s="31" t="n">
        <f aca="false">'Bond Schedule (Base Case)'!H26</f>
        <v>1.718313</v>
      </c>
      <c r="E29" s="32" t="n">
        <f aca="false">MAX(0,MIN($C$5,$C$5*(A29-$C$6)/($C$7-$C$6)))</f>
        <v>0.0708333333333334</v>
      </c>
      <c r="F29" s="33" t="n">
        <f aca="false">C29*(1-E29)*D29/1000</f>
        <v>11003299.1981231</v>
      </c>
      <c r="G29" s="33" t="n">
        <f aca="false">MAX(0,B29-F29)</f>
        <v>0</v>
      </c>
      <c r="I29" s="26" t="n">
        <v>2044</v>
      </c>
      <c r="J29" s="30" t="n">
        <f aca="false">'Conservative ($64M, App C)'!E26</f>
        <v>6490113</v>
      </c>
      <c r="K29" s="30" t="n">
        <f aca="false">'Conservative ($64M, App C)'!G26</f>
        <v>4012278747</v>
      </c>
      <c r="L29" s="31" t="n">
        <f aca="false">'Conservative ($64M, App C)'!H26</f>
        <v>1.676876</v>
      </c>
      <c r="M29" s="32" t="n">
        <f aca="false">MAX(0,MIN($C$5,$C$5*(I29-$C$6)/($C$7-$C$6)))</f>
        <v>0.0708333333333334</v>
      </c>
      <c r="N29" s="33" t="n">
        <f aca="false">K29*(1-M29)*L29/1000</f>
        <v>6251520.61567677</v>
      </c>
      <c r="O29" s="33" t="n">
        <f aca="false">MAX(0,J29-N29)</f>
        <v>238592.384323229</v>
      </c>
    </row>
    <row r="30" customFormat="false" ht="15" hidden="false" customHeight="true" outlineLevel="0" collapsed="false">
      <c r="A30" s="26" t="n">
        <v>2045</v>
      </c>
      <c r="B30" s="30" t="n">
        <f aca="false">'Bond Schedule (Base Case)'!E27</f>
        <v>10875350</v>
      </c>
      <c r="C30" s="30" t="n">
        <f aca="false">'Bond Schedule (Base Case)'!G27</f>
        <v>7275336255</v>
      </c>
      <c r="D30" s="31" t="n">
        <f aca="false">'Bond Schedule (Base Case)'!H27</f>
        <v>1.6715</v>
      </c>
      <c r="E30" s="32" t="n">
        <f aca="false">MAX(0,MIN($C$5,$C$5*(A30-$C$6)/($C$7-$C$6)))</f>
        <v>0.075</v>
      </c>
      <c r="F30" s="33" t="n">
        <f aca="false">C30*(1-E30)*D30/1000</f>
        <v>11248670.2089651</v>
      </c>
      <c r="G30" s="33" t="n">
        <f aca="false">MAX(0,B30-F30)</f>
        <v>0</v>
      </c>
      <c r="I30" s="26" t="n">
        <v>2045</v>
      </c>
      <c r="J30" s="30" t="n">
        <f aca="false">'Conservative ($64M, App C)'!E27</f>
        <v>6683238</v>
      </c>
      <c r="K30" s="30" t="n">
        <f aca="false">'Conservative ($64M, App C)'!G27</f>
        <v>4263450650</v>
      </c>
      <c r="L30" s="31" t="n">
        <f aca="false">'Conservative ($64M, App C)'!H27</f>
        <v>1.626921</v>
      </c>
      <c r="M30" s="32" t="n">
        <f aca="false">MAX(0,MIN($C$5,$C$5*(I30-$C$6)/($C$7-$C$6)))</f>
        <v>0.075</v>
      </c>
      <c r="N30" s="33" t="n">
        <f aca="false">K30*(1-M30)*L30/1000</f>
        <v>6416075.0903275</v>
      </c>
      <c r="O30" s="33" t="n">
        <f aca="false">MAX(0,J30-N30)</f>
        <v>267162.909672499</v>
      </c>
    </row>
    <row r="31" customFormat="false" ht="15" hidden="false" customHeight="true" outlineLevel="0" collapsed="false">
      <c r="A31" s="26" t="n">
        <v>2046</v>
      </c>
      <c r="B31" s="30" t="n">
        <f aca="false">'Bond Schedule (Base Case)'!E28</f>
        <v>11186825</v>
      </c>
      <c r="C31" s="30" t="n">
        <f aca="false">'Bond Schedule (Base Case)'!G28</f>
        <v>7679570381</v>
      </c>
      <c r="D31" s="31" t="n">
        <f aca="false">'Bond Schedule (Base Case)'!H28</f>
        <v>1.62558</v>
      </c>
      <c r="E31" s="32" t="n">
        <f aca="false">MAX(0,MIN($C$5,$C$5*(A31-$C$6)/($C$7-$C$6)))</f>
        <v>0.0791666666666667</v>
      </c>
      <c r="F31" s="33" t="n">
        <f aca="false">C31*(1-E31)*D31/1000</f>
        <v>11495458.6683669</v>
      </c>
      <c r="G31" s="33" t="n">
        <f aca="false">MAX(0,B31-F31)</f>
        <v>0</v>
      </c>
      <c r="I31" s="26" t="n">
        <v>2046</v>
      </c>
      <c r="J31" s="30" t="n">
        <f aca="false">'Conservative ($64M, App C)'!E28</f>
        <v>6864800</v>
      </c>
      <c r="K31" s="30" t="n">
        <f aca="false">'Conservative ($64M, App C)'!G28</f>
        <v>4529138039</v>
      </c>
      <c r="L31" s="31" t="n">
        <f aca="false">'Conservative ($64M, App C)'!H28</f>
        <v>1.578259</v>
      </c>
      <c r="M31" s="32" t="n">
        <f aca="false">MAX(0,MIN($C$5,$C$5*(I31-$C$6)/($C$7-$C$6)))</f>
        <v>0.0791666666666667</v>
      </c>
      <c r="N31" s="33" t="n">
        <f aca="false">K31*(1-M31)*L31/1000</f>
        <v>6582257.43657082</v>
      </c>
      <c r="O31" s="33" t="n">
        <f aca="false">MAX(0,J31-N31)</f>
        <v>282542.563429182</v>
      </c>
    </row>
    <row r="32" customFormat="false" ht="15" hidden="false" customHeight="true" outlineLevel="0" collapsed="false">
      <c r="A32" s="26" t="n">
        <v>2047</v>
      </c>
      <c r="B32" s="30" t="n">
        <f aca="false">'Bond Schedule (Base Case)'!E29</f>
        <v>11497388</v>
      </c>
      <c r="C32" s="30" t="n">
        <f aca="false">'Bond Schedule (Base Case)'!G29</f>
        <v>8105497087</v>
      </c>
      <c r="D32" s="31" t="n">
        <f aca="false">'Bond Schedule (Base Case)'!H29</f>
        <v>1.580546</v>
      </c>
      <c r="E32" s="32" t="n">
        <f aca="false">MAX(0,MIN($C$5,$C$5*(A32-$C$6)/($C$7-$C$6)))</f>
        <v>0.0833333333333333</v>
      </c>
      <c r="F32" s="33" t="n">
        <f aca="false">C32*(1-E32)*D32/1000</f>
        <v>11743518.4156304</v>
      </c>
      <c r="G32" s="33" t="n">
        <f aca="false">MAX(0,B32-F32)</f>
        <v>0</v>
      </c>
      <c r="I32" s="26" t="n">
        <v>2047</v>
      </c>
      <c r="J32" s="30" t="n">
        <f aca="false">'Conservative ($64M, App C)'!E29</f>
        <v>7056875</v>
      </c>
      <c r="K32" s="30" t="n">
        <f aca="false">'Conservative ($64M, App C)'!G29</f>
        <v>4810144857</v>
      </c>
      <c r="L32" s="31" t="n">
        <f aca="false">'Conservative ($64M, App C)'!H29</f>
        <v>1.530833</v>
      </c>
      <c r="M32" s="32" t="n">
        <f aca="false">MAX(0,MIN($C$5,$C$5*(I32-$C$6)/($C$7-$C$6)))</f>
        <v>0.0833333333333333</v>
      </c>
      <c r="N32" s="33" t="n">
        <f aca="false">K32*(1-M32)*L32/1000</f>
        <v>6749901.10838623</v>
      </c>
      <c r="O32" s="33" t="n">
        <f aca="false">MAX(0,J32-N32)</f>
        <v>306973.891613775</v>
      </c>
    </row>
    <row r="33" customFormat="false" ht="15" hidden="false" customHeight="true" outlineLevel="0" collapsed="false">
      <c r="A33" s="26" t="n">
        <v>2048</v>
      </c>
      <c r="B33" s="30" t="n">
        <f aca="false">'Bond Schedule (Base Case)'!E30</f>
        <v>11803913</v>
      </c>
      <c r="C33" s="30" t="n">
        <f aca="false">'Bond Schedule (Base Case)'!G30</f>
        <v>8554256730</v>
      </c>
      <c r="D33" s="31" t="n">
        <f aca="false">'Bond Schedule (Base Case)'!H30</f>
        <v>1.536442</v>
      </c>
      <c r="E33" s="32" t="n">
        <f aca="false">MAX(0,MIN($C$5,$C$5*(A33-$C$6)/($C$7-$C$6)))</f>
        <v>0.0875</v>
      </c>
      <c r="F33" s="33" t="n">
        <f aca="false">C33*(1-E33)*D33/1000</f>
        <v>11993096.3783636</v>
      </c>
      <c r="G33" s="33" t="n">
        <f aca="false">MAX(0,B33-F33)</f>
        <v>0</v>
      </c>
      <c r="I33" s="26" t="n">
        <v>2048</v>
      </c>
      <c r="J33" s="30" t="n">
        <f aca="false">'Conservative ($64M, App C)'!E30</f>
        <v>7252888</v>
      </c>
      <c r="K33" s="30" t="n">
        <f aca="false">'Conservative ($64M, App C)'!G30</f>
        <v>5107318298</v>
      </c>
      <c r="L33" s="31" t="n">
        <f aca="false">'Conservative ($64M, App C)'!H30</f>
        <v>1.484664</v>
      </c>
      <c r="M33" s="32" t="n">
        <f aca="false">MAX(0,MIN($C$5,$C$5*(I33-$C$6)/($C$7-$C$6)))</f>
        <v>0.0875</v>
      </c>
      <c r="N33" s="33" t="n">
        <f aca="false">K33*(1-M33)*L33/1000</f>
        <v>6919169.59739346</v>
      </c>
      <c r="O33" s="33" t="n">
        <f aca="false">MAX(0,J33-N33)</f>
        <v>333718.402606541</v>
      </c>
    </row>
    <row r="34" customFormat="false" ht="15" hidden="false" customHeight="true" outlineLevel="0" collapsed="false">
      <c r="A34" s="26" t="n">
        <v>2049</v>
      </c>
      <c r="B34" s="30" t="n">
        <f aca="false">'Bond Schedule (Base Case)'!E31</f>
        <v>12130113</v>
      </c>
      <c r="C34" s="30" t="n">
        <f aca="false">'Bond Schedule (Base Case)'!G31</f>
        <v>9027048679</v>
      </c>
      <c r="D34" s="31" t="n">
        <f aca="false">'Bond Schedule (Base Case)'!H31</f>
        <v>1.493278</v>
      </c>
      <c r="E34" s="32" t="n">
        <f aca="false">MAX(0,MIN($C$5,$C$5*(A34-$C$6)/($C$7-$C$6)))</f>
        <v>0.0916666666666667</v>
      </c>
      <c r="F34" s="33" t="n">
        <f aca="false">C34*(1-E34)*D34/1000</f>
        <v>12244236.3208625</v>
      </c>
      <c r="G34" s="33" t="n">
        <f aca="false">MAX(0,B34-F34)</f>
        <v>0</v>
      </c>
      <c r="I34" s="26" t="n">
        <v>2049</v>
      </c>
      <c r="J34" s="30" t="n">
        <f aca="false">'Conservative ($64M, App C)'!E31</f>
        <v>7450600</v>
      </c>
      <c r="K34" s="30" t="n">
        <f aca="false">'Conservative ($64M, App C)'!G31</f>
        <v>5421551079</v>
      </c>
      <c r="L34" s="31" t="n">
        <f aca="false">'Conservative ($64M, App C)'!H31</f>
        <v>1.439735</v>
      </c>
      <c r="M34" s="32" t="n">
        <f aca="false">MAX(0,MIN($C$5,$C$5*(I34-$C$6)/($C$7-$C$6)))</f>
        <v>0.0916666666666667</v>
      </c>
      <c r="N34" s="33" t="n">
        <f aca="false">K34*(1-M34)*L34/1000</f>
        <v>7090083.79880769</v>
      </c>
      <c r="O34" s="33" t="n">
        <f aca="false">MAX(0,J34-N34)</f>
        <v>360516.201192307</v>
      </c>
    </row>
    <row r="35" customFormat="false" ht="15" hidden="false" customHeight="true" outlineLevel="0" collapsed="false">
      <c r="A35" s="26" t="n">
        <v>2050</v>
      </c>
      <c r="B35" s="30" t="n">
        <f aca="false">'Bond Schedule (Base Case)'!E32</f>
        <v>12456500</v>
      </c>
      <c r="C35" s="30" t="n">
        <f aca="false">'Bond Schedule (Base Case)'!G32</f>
        <v>9525134333</v>
      </c>
      <c r="D35" s="31" t="n">
        <f aca="false">'Bond Schedule (Base Case)'!H32</f>
        <v>1.451053</v>
      </c>
      <c r="E35" s="32" t="n">
        <f aca="false">MAX(0,MIN($C$5,$C$5*(A35-$C$6)/($C$7-$C$6)))</f>
        <v>0.0958333333333333</v>
      </c>
      <c r="F35" s="33" t="n">
        <f aca="false">C35*(1-E35)*D35/1000</f>
        <v>12496916.7524945</v>
      </c>
      <c r="G35" s="33" t="n">
        <f aca="false">MAX(0,B35-F35)</f>
        <v>0</v>
      </c>
      <c r="I35" s="26" t="n">
        <v>2050</v>
      </c>
      <c r="J35" s="30" t="n">
        <f aca="false">'Conservative ($64M, App C)'!E32</f>
        <v>7651825</v>
      </c>
      <c r="K35" s="30" t="n">
        <f aca="false">'Conservative ($64M, App C)'!G32</f>
        <v>5753783843</v>
      </c>
      <c r="L35" s="31" t="n">
        <f aca="false">'Conservative ($64M, App C)'!H32</f>
        <v>1.396023</v>
      </c>
      <c r="M35" s="32" t="n">
        <f aca="false">MAX(0,MIN($C$5,$C$5*(I35-$C$6)/($C$7-$C$6)))</f>
        <v>0.0958333333333333</v>
      </c>
      <c r="N35" s="33" t="n">
        <f aca="false">K35*(1-M35)*L35/1000</f>
        <v>7262641.51776182</v>
      </c>
      <c r="O35" s="33" t="n">
        <f aca="false">MAX(0,J35-N35)</f>
        <v>389183.482238181</v>
      </c>
    </row>
    <row r="36" customFormat="false" ht="15" hidden="false" customHeight="true" outlineLevel="0" collapsed="false">
      <c r="A36" s="26" t="n">
        <v>2051</v>
      </c>
      <c r="B36" s="30" t="n">
        <f aca="false">'Bond Schedule (Base Case)'!E33</f>
        <v>12782175</v>
      </c>
      <c r="C36" s="30" t="n">
        <f aca="false">'Bond Schedule (Base Case)'!G33</f>
        <v>10049840283</v>
      </c>
      <c r="D36" s="31" t="n">
        <f aca="false">'Bond Schedule (Base Case)'!H33</f>
        <v>1.409766</v>
      </c>
      <c r="E36" s="32" t="n">
        <f aca="false">MAX(0,MIN($C$5,$C$5*(A36-$C$6)/($C$7-$C$6)))</f>
        <v>0.1</v>
      </c>
      <c r="F36" s="33" t="n">
        <f aca="false">C36*(1-E36)*D36/1000</f>
        <v>12751130.8227634</v>
      </c>
      <c r="G36" s="33" t="n">
        <f aca="false">MAX(0,B36-F36)</f>
        <v>31044.1772365998</v>
      </c>
      <c r="I36" s="26" t="n">
        <v>2051</v>
      </c>
      <c r="J36" s="30" t="n">
        <f aca="false">'Conservative ($64M, App C)'!E33</f>
        <v>7849050</v>
      </c>
      <c r="K36" s="30" t="n">
        <f aca="false">'Conservative ($64M, App C)'!G33</f>
        <v>6105007671</v>
      </c>
      <c r="L36" s="31" t="n">
        <f aca="false">'Conservative ($64M, App C)'!H33</f>
        <v>1.353506</v>
      </c>
      <c r="M36" s="32" t="n">
        <f aca="false">MAX(0,MIN($C$5,$C$5*(I36-$C$6)/($C$7-$C$6)))</f>
        <v>0.1</v>
      </c>
      <c r="N36" s="33" t="n">
        <f aca="false">K36*(1-M36)*L36/1000</f>
        <v>7436848.06147008</v>
      </c>
      <c r="O36" s="33" t="n">
        <f aca="false">MAX(0,J36-N36)</f>
        <v>412201.938529925</v>
      </c>
    </row>
    <row r="37" customFormat="false" ht="15" hidden="false" customHeight="true" outlineLevel="0" collapsed="false">
      <c r="A37" s="25" t="s">
        <v>45</v>
      </c>
      <c r="G37" s="34" t="n">
        <f aca="false">SUM(G11:G36)</f>
        <v>355991.228130465</v>
      </c>
      <c r="I37" s="25" t="s">
        <v>45</v>
      </c>
      <c r="O37" s="34" t="n">
        <f aca="false">SUM(O11:O36)</f>
        <v>4087468.03806376</v>
      </c>
    </row>
    <row r="39" customFormat="false" ht="15" hidden="false" customHeight="true" outlineLevel="0" collapsed="false">
      <c r="A39" s="24" t="s">
        <v>92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26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18"/>
    <col collapsed="false" customWidth="true" hidden="false" outlineLevel="0" max="2" min="2" style="1" width="12"/>
    <col collapsed="false" customWidth="true" hidden="false" outlineLevel="0" max="3" min="3" style="1" width="9"/>
  </cols>
  <sheetData>
    <row r="1" customFormat="false" ht="18" hidden="false" customHeight="true" outlineLevel="0" collapsed="false">
      <c r="A1" s="35" t="s">
        <v>93</v>
      </c>
    </row>
    <row r="2" customFormat="false" ht="15" hidden="false" customHeight="true" outlineLevel="0" collapsed="false">
      <c r="A2" s="36" t="s">
        <v>94</v>
      </c>
    </row>
    <row r="4" customFormat="false" ht="15" hidden="false" customHeight="true" outlineLevel="0" collapsed="false">
      <c r="A4" s="37" t="s">
        <v>95</v>
      </c>
    </row>
    <row r="5" customFormat="false" ht="24" hidden="false" customHeight="true" outlineLevel="0" collapsed="false">
      <c r="A5" s="38" t="s">
        <v>96</v>
      </c>
    </row>
    <row r="6" customFormat="false" ht="15" hidden="false" customHeight="true" outlineLevel="0" collapsed="false">
      <c r="A6" s="38" t="s">
        <v>97</v>
      </c>
    </row>
    <row r="7" customFormat="false" ht="24" hidden="false" customHeight="true" outlineLevel="0" collapsed="false">
      <c r="A7" s="38" t="s">
        <v>98</v>
      </c>
    </row>
    <row r="8" customFormat="false" ht="24" hidden="false" customHeight="true" outlineLevel="0" collapsed="false">
      <c r="A8" s="38" t="s">
        <v>99</v>
      </c>
    </row>
    <row r="10" customFormat="false" ht="15" hidden="false" customHeight="true" outlineLevel="0" collapsed="false">
      <c r="A10" s="37" t="s">
        <v>100</v>
      </c>
    </row>
    <row r="11" customFormat="false" ht="24" hidden="false" customHeight="true" outlineLevel="0" collapsed="false">
      <c r="A11" s="38" t="s">
        <v>101</v>
      </c>
    </row>
    <row r="12" customFormat="false" ht="24" hidden="false" customHeight="true" outlineLevel="0" collapsed="false">
      <c r="A12" s="38" t="s">
        <v>102</v>
      </c>
    </row>
    <row r="13" customFormat="false" ht="48" hidden="false" customHeight="true" outlineLevel="0" collapsed="false">
      <c r="A13" s="38" t="s">
        <v>103</v>
      </c>
    </row>
    <row r="14" customFormat="false" ht="24" hidden="false" customHeight="true" outlineLevel="0" collapsed="false">
      <c r="A14" s="38" t="s">
        <v>104</v>
      </c>
    </row>
    <row r="16" customFormat="false" ht="15" hidden="false" customHeight="true" outlineLevel="0" collapsed="false">
      <c r="A16" s="37" t="s">
        <v>105</v>
      </c>
    </row>
    <row r="17" customFormat="false" ht="15" hidden="false" customHeight="true" outlineLevel="0" collapsed="false">
      <c r="A17" s="39" t="s">
        <v>106</v>
      </c>
      <c r="B17" s="39" t="s">
        <v>107</v>
      </c>
      <c r="C17" s="39" t="s">
        <v>108</v>
      </c>
    </row>
    <row r="18" customFormat="false" ht="15" hidden="false" customHeight="true" outlineLevel="0" collapsed="false">
      <c r="A18" s="40" t="s">
        <v>109</v>
      </c>
      <c r="B18" s="40" t="s">
        <v>110</v>
      </c>
      <c r="C18" s="40" t="s">
        <v>111</v>
      </c>
    </row>
    <row r="19" customFormat="false" ht="15" hidden="false" customHeight="true" outlineLevel="0" collapsed="false">
      <c r="A19" s="40" t="s">
        <v>112</v>
      </c>
      <c r="B19" s="40" t="s">
        <v>113</v>
      </c>
      <c r="C19" s="40" t="s">
        <v>111</v>
      </c>
    </row>
    <row r="20" customFormat="false" ht="15" hidden="false" customHeight="true" outlineLevel="0" collapsed="false">
      <c r="A20" s="40" t="s">
        <v>114</v>
      </c>
      <c r="B20" s="40" t="s">
        <v>115</v>
      </c>
      <c r="C20" s="40" t="s">
        <v>116</v>
      </c>
    </row>
    <row r="21" customFormat="false" ht="15" hidden="false" customHeight="true" outlineLevel="0" collapsed="false">
      <c r="A21" s="41" t="s">
        <v>117</v>
      </c>
      <c r="B21" s="41" t="s">
        <v>118</v>
      </c>
      <c r="C21" s="41" t="s">
        <v>119</v>
      </c>
    </row>
    <row r="22" customFormat="false" ht="15" hidden="false" customHeight="true" outlineLevel="0" collapsed="false">
      <c r="A22" s="40" t="s">
        <v>120</v>
      </c>
      <c r="B22" s="40" t="s">
        <v>121</v>
      </c>
      <c r="C22" s="40" t="s">
        <v>122</v>
      </c>
    </row>
    <row r="24" customFormat="false" ht="15" hidden="false" customHeight="true" outlineLevel="0" collapsed="false">
      <c r="A24" s="37" t="s">
        <v>123</v>
      </c>
    </row>
    <row r="25" customFormat="false" ht="15" hidden="false" customHeight="true" outlineLevel="0" collapsed="false">
      <c r="A25" s="39" t="s">
        <v>58</v>
      </c>
      <c r="B25" s="39" t="s">
        <v>124</v>
      </c>
      <c r="C25" s="39" t="s">
        <v>125</v>
      </c>
    </row>
    <row r="26" customFormat="false" ht="72" hidden="false" customHeight="true" outlineLevel="0" collapsed="false">
      <c r="A26" s="20" t="s">
        <v>61</v>
      </c>
      <c r="B26" s="20" t="s">
        <v>62</v>
      </c>
      <c r="C26" s="20" t="s">
        <v>126</v>
      </c>
    </row>
    <row r="27" customFormat="false" ht="72" hidden="false" customHeight="true" outlineLevel="0" collapsed="false">
      <c r="A27" s="20" t="s">
        <v>64</v>
      </c>
      <c r="B27" s="20" t="s">
        <v>65</v>
      </c>
      <c r="C27" s="20" t="s">
        <v>127</v>
      </c>
    </row>
    <row r="28" customFormat="false" ht="48" hidden="false" customHeight="true" outlineLevel="0" collapsed="false">
      <c r="A28" s="20" t="s">
        <v>67</v>
      </c>
      <c r="B28" s="20" t="s">
        <v>68</v>
      </c>
      <c r="C28" s="20" t="s">
        <v>69</v>
      </c>
    </row>
    <row r="29" customFormat="false" ht="72" hidden="false" customHeight="true" outlineLevel="0" collapsed="false">
      <c r="A29" s="21" t="s">
        <v>128</v>
      </c>
      <c r="B29" s="21" t="s">
        <v>71</v>
      </c>
      <c r="C29" s="21" t="s">
        <v>129</v>
      </c>
    </row>
    <row r="30" customFormat="false" ht="72" hidden="false" customHeight="true" outlineLevel="0" collapsed="false">
      <c r="A30" s="20" t="s">
        <v>73</v>
      </c>
      <c r="B30" s="20" t="s">
        <v>74</v>
      </c>
      <c r="C30" s="20" t="s">
        <v>130</v>
      </c>
    </row>
    <row r="32" customFormat="false" ht="24" hidden="false" customHeight="true" outlineLevel="0" collapsed="false">
      <c r="A32" s="42" t="s">
        <v>131</v>
      </c>
    </row>
    <row r="34" customFormat="false" ht="15" hidden="false" customHeight="true" outlineLevel="0" collapsed="false">
      <c r="A34" s="37" t="s">
        <v>132</v>
      </c>
    </row>
    <row r="35" customFormat="false" ht="15" hidden="false" customHeight="true" outlineLevel="0" collapsed="false">
      <c r="A35" s="38" t="s">
        <v>133</v>
      </c>
    </row>
    <row r="36" customFormat="false" ht="24" hidden="false" customHeight="true" outlineLevel="0" collapsed="false">
      <c r="A36" s="38" t="s">
        <v>134</v>
      </c>
    </row>
    <row r="37" customFormat="false" ht="15" hidden="false" customHeight="true" outlineLevel="0" collapsed="false">
      <c r="A37" s="38" t="s">
        <v>135</v>
      </c>
    </row>
    <row r="38" customFormat="false" ht="15" hidden="false" customHeight="true" outlineLevel="0" collapsed="false">
      <c r="A38" s="38" t="s">
        <v>136</v>
      </c>
    </row>
    <row r="40" customFormat="false" ht="15" hidden="false" customHeight="true" outlineLevel="0" collapsed="false">
      <c r="A40" s="43" t="s">
        <v>137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2026-07-16T22:36:30Z</dcterms:created>
  <dc:creator>openpyxl</dc:creator>
  <dc:description/>
  <dc:language>en-US</dc:language>
  <cp:lastModifiedBy>Rick Viall</cp:lastModifiedBy>
  <dcterms:modified xsi:type="dcterms:W3CDTF">2026-07-24T01:48:34Z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